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10425" windowHeight="6045" tabRatio="893" activeTab="3"/>
  </bookViews>
  <sheets>
    <sheet name="Súhrnná bilancia" sheetId="6" r:id="rId1"/>
    <sheet name="vývoj príjmov" sheetId="270" r:id="rId2"/>
    <sheet name="Príjmy rozdelenie" sheetId="5" r:id="rId3"/>
    <sheet name="Vývoj pohľadávok" sheetId="278" r:id="rId4"/>
    <sheet name="graf pohľadávky" sheetId="279" r:id="rId5"/>
    <sheet name="stav pohľ.podľa pob.12_14.1" sheetId="280" r:id="rId6"/>
    <sheet name="spôsoby vymáhania" sheetId="281" r:id="rId7"/>
    <sheet name="Opravné položky" sheetId="282" r:id="rId8"/>
    <sheet name="Exekučné návrhy" sheetId="283" r:id="rId9"/>
    <sheet name="Mandátna správa" sheetId="284" r:id="rId10"/>
    <sheet name="Vydané rozhodnutia SK " sheetId="285" r:id="rId11"/>
    <sheet name="Pohľadávky voči  ZZ" sheetId="286" r:id="rId12"/>
    <sheet name="Pohľadávky podľa pobočiek ZZ" sheetId="287" r:id="rId13"/>
    <sheet name="V delenie mesačne " sheetId="159" r:id="rId14"/>
    <sheet name="V po fondoch podrobne " sheetId="158" r:id="rId15"/>
    <sheet name="P a V hradené štátom" sheetId="204" r:id="rId16"/>
    <sheet name="zostatky na účtoch" sheetId="214" r:id="rId17"/>
    <sheet name="SF 2013 - 2014" sheetId="271" r:id="rId18"/>
    <sheet name="Graf SF" sheetId="272" r:id="rId19"/>
    <sheet name="SF" sheetId="273" r:id="rId20"/>
    <sheet name="600" sheetId="274" r:id="rId21"/>
    <sheet name="700" sheetId="275" r:id="rId22"/>
    <sheet name="600 ústredie" sheetId="276" r:id="rId23"/>
    <sheet name="Úprava RR" sheetId="277" r:id="rId24"/>
    <sheet name="Hárok1" sheetId="213" r:id="rId25"/>
    <sheet name="Hárok2" sheetId="232" r:id="rId26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__________________________________________col8">#REF!</definedName>
    <definedName name="__________________________________________col8">#REF!</definedName>
    <definedName name="_________________________________________col8">#REF!</definedName>
    <definedName name="________________________________________col1">#REF!</definedName>
    <definedName name="________________________________________col2">#REF!</definedName>
    <definedName name="________________________________________col3">#REF!</definedName>
    <definedName name="________________________________________col4">#REF!</definedName>
    <definedName name="________________________________________col5">#REF!</definedName>
    <definedName name="________________________________________col6">#REF!</definedName>
    <definedName name="________________________________________col7">#REF!</definedName>
    <definedName name="________________________________________col8">#REF!</definedName>
    <definedName name="_______________________________________col1">#REF!</definedName>
    <definedName name="_______________________________________col2">#REF!</definedName>
    <definedName name="_______________________________________col3">#REF!</definedName>
    <definedName name="_______________________________________col4">#REF!</definedName>
    <definedName name="_______________________________________col5">#REF!</definedName>
    <definedName name="_______________________________________col6">#REF!</definedName>
    <definedName name="_______________________________________col7">#REF!</definedName>
    <definedName name="_______________________________________col8">#REF!</definedName>
    <definedName name="______________________________________col1">#REF!</definedName>
    <definedName name="______________________________________col2">#REF!</definedName>
    <definedName name="______________________________________col3">#REF!</definedName>
    <definedName name="______________________________________col4">#REF!</definedName>
    <definedName name="______________________________________col5">#REF!</definedName>
    <definedName name="______________________________________col6">#REF!</definedName>
    <definedName name="______________________________________col7">#REF!</definedName>
    <definedName name="______________________________________col8">#REF!</definedName>
    <definedName name="_____________________________________col1">#REF!</definedName>
    <definedName name="_____________________________________col2">#REF!</definedName>
    <definedName name="_____________________________________col3">#REF!</definedName>
    <definedName name="_____________________________________col4">#REF!</definedName>
    <definedName name="_____________________________________col5">#REF!</definedName>
    <definedName name="_____________________________________col6">#REF!</definedName>
    <definedName name="_____________________________________col7">#REF!</definedName>
    <definedName name="_____________________________________col8">#REF!</definedName>
    <definedName name="____________________________________col1">#REF!</definedName>
    <definedName name="____________________________________col2">#REF!</definedName>
    <definedName name="____________________________________col3">#REF!</definedName>
    <definedName name="____________________________________col4">#REF!</definedName>
    <definedName name="____________________________________col5">#REF!</definedName>
    <definedName name="____________________________________col6">#REF!</definedName>
    <definedName name="____________________________________col7">#REF!</definedName>
    <definedName name="____________________________________col8">#REF!</definedName>
    <definedName name="___________________________________col1">#REF!</definedName>
    <definedName name="___________________________________col2">#REF!</definedName>
    <definedName name="___________________________________col3">#REF!</definedName>
    <definedName name="___________________________________col4">#REF!</definedName>
    <definedName name="___________________________________col5">#REF!</definedName>
    <definedName name="___________________________________col6">#REF!</definedName>
    <definedName name="___________________________________col7">#REF!</definedName>
    <definedName name="___________________________________col8">#REF!</definedName>
    <definedName name="__________________________________col1">#REF!</definedName>
    <definedName name="__________________________________col2">#REF!</definedName>
    <definedName name="__________________________________col3">#REF!</definedName>
    <definedName name="__________________________________col4">#REF!</definedName>
    <definedName name="__________________________________col5">#REF!</definedName>
    <definedName name="__________________________________col6">#REF!</definedName>
    <definedName name="__________________________________col7">#REF!</definedName>
    <definedName name="__________________________________col8">#REF!</definedName>
    <definedName name="_________________________________col1">#REF!</definedName>
    <definedName name="_________________________________col2">#REF!</definedName>
    <definedName name="_________________________________col3">#REF!</definedName>
    <definedName name="_________________________________col4">#REF!</definedName>
    <definedName name="_________________________________col5">#REF!</definedName>
    <definedName name="_________________________________col6">#REF!</definedName>
    <definedName name="_________________________________col7">#REF!</definedName>
    <definedName name="_________________________________col8">#REF!</definedName>
    <definedName name="________________________________col1">#REF!</definedName>
    <definedName name="________________________________col2">#REF!</definedName>
    <definedName name="________________________________col3">#REF!</definedName>
    <definedName name="________________________________col4">#REF!</definedName>
    <definedName name="________________________________col5">#REF!</definedName>
    <definedName name="________________________________col6">#REF!</definedName>
    <definedName name="________________________________col7">#REF!</definedName>
    <definedName name="________________________________col8">#REF!</definedName>
    <definedName name="_______________________________col1">#REF!</definedName>
    <definedName name="_______________________________col2">#REF!</definedName>
    <definedName name="_______________________________col3">#REF!</definedName>
    <definedName name="_______________________________col4">#REF!</definedName>
    <definedName name="_______________________________col5">#REF!</definedName>
    <definedName name="_______________________________col6">#REF!</definedName>
    <definedName name="_______________________________col7">#REF!</definedName>
    <definedName name="______________________________col1">#REF!</definedName>
    <definedName name="______________________________col2">#REF!</definedName>
    <definedName name="______________________________col3">#REF!</definedName>
    <definedName name="______________________________col4">#REF!</definedName>
    <definedName name="______________________________col5">#REF!</definedName>
    <definedName name="______________________________col6">#REF!</definedName>
    <definedName name="______________________________col7">#REF!</definedName>
    <definedName name="______________________________col8" localSheetId="7">#REF!</definedName>
    <definedName name="______________________________col8" localSheetId="6">#REF!</definedName>
    <definedName name="______________________________col8">#REF!</definedName>
    <definedName name="_____________________________col1">#REF!</definedName>
    <definedName name="_____________________________col2">#REF!</definedName>
    <definedName name="_____________________________col3">#REF!</definedName>
    <definedName name="_____________________________col4">#REF!</definedName>
    <definedName name="_____________________________col5">#REF!</definedName>
    <definedName name="_____________________________col6">#REF!</definedName>
    <definedName name="_____________________________col7">#REF!</definedName>
    <definedName name="_____________________________col8" localSheetId="5">#REF!</definedName>
    <definedName name="____________________________col1" localSheetId="7">#REF!</definedName>
    <definedName name="____________________________col1" localSheetId="6">#REF!</definedName>
    <definedName name="____________________________col1">#REF!</definedName>
    <definedName name="____________________________col2">#REF!</definedName>
    <definedName name="____________________________col3">#REF!</definedName>
    <definedName name="____________________________col4">#REF!</definedName>
    <definedName name="____________________________col5">#REF!</definedName>
    <definedName name="____________________________col6">#REF!</definedName>
    <definedName name="____________________________col7">#REF!</definedName>
    <definedName name="____________________________col8">#REF!</definedName>
    <definedName name="___________________________col1">#REF!</definedName>
    <definedName name="___________________________col2">#REF!</definedName>
    <definedName name="___________________________col3">#REF!</definedName>
    <definedName name="___________________________col4">#REF!</definedName>
    <definedName name="___________________________col5">#REF!</definedName>
    <definedName name="___________________________col6">#REF!</definedName>
    <definedName name="___________________________col7">#REF!</definedName>
    <definedName name="___________________________col8">#REF!</definedName>
    <definedName name="__________________________col1" localSheetId="7">#REF!</definedName>
    <definedName name="__________________________col1">#REF!</definedName>
    <definedName name="__________________________col2" localSheetId="7">#REF!</definedName>
    <definedName name="__________________________col2">#REF!</definedName>
    <definedName name="__________________________col3" localSheetId="7">#REF!</definedName>
    <definedName name="__________________________col3">#REF!</definedName>
    <definedName name="__________________________col4" localSheetId="7">#REF!</definedName>
    <definedName name="__________________________col4">#REF!</definedName>
    <definedName name="__________________________col5" localSheetId="7">#REF!</definedName>
    <definedName name="__________________________col5">#REF!</definedName>
    <definedName name="__________________________col6" localSheetId="7">#REF!</definedName>
    <definedName name="__________________________col6">#REF!</definedName>
    <definedName name="__________________________col7" localSheetId="7">#REF!</definedName>
    <definedName name="__________________________col7">#REF!</definedName>
    <definedName name="__________________________col8" localSheetId="7">#REF!</definedName>
    <definedName name="__________________________col8">#REF!</definedName>
    <definedName name="_________________________col1">#REF!</definedName>
    <definedName name="_________________________col2">#REF!</definedName>
    <definedName name="_________________________col255">#REF!</definedName>
    <definedName name="_________________________col3">#REF!</definedName>
    <definedName name="_________________________col4">#REF!</definedName>
    <definedName name="_________________________col5">#REF!</definedName>
    <definedName name="_________________________col6">#REF!</definedName>
    <definedName name="_________________________col7">#REF!</definedName>
    <definedName name="_________________________col8">#REF!</definedName>
    <definedName name="________________________col1">#REF!</definedName>
    <definedName name="________________________col2">#REF!</definedName>
    <definedName name="________________________col255">#REF!</definedName>
    <definedName name="________________________col3">#REF!</definedName>
    <definedName name="________________________col4">#REF!</definedName>
    <definedName name="________________________col5">#REF!</definedName>
    <definedName name="________________________col6">#REF!</definedName>
    <definedName name="________________________col7">#REF!</definedName>
    <definedName name="________________________col8">#REF!</definedName>
    <definedName name="_______________________col1">#REF!</definedName>
    <definedName name="_______________________col2">#REF!</definedName>
    <definedName name="_______________________col225">#REF!</definedName>
    <definedName name="_______________________col255">#REF!</definedName>
    <definedName name="_______________________col3">#REF!</definedName>
    <definedName name="_______________________col4">#REF!</definedName>
    <definedName name="_______________________col5">#REF!</definedName>
    <definedName name="_______________________col6">#REF!</definedName>
    <definedName name="_______________________col7">#REF!</definedName>
    <definedName name="_______________________col8">#REF!</definedName>
    <definedName name="_______________________tab2">#REF!</definedName>
    <definedName name="_______________________tab33">#REF!</definedName>
    <definedName name="______________________col1">#REF!</definedName>
    <definedName name="______________________col2">#REF!</definedName>
    <definedName name="______________________col225">#REF!</definedName>
    <definedName name="______________________col255">#REF!</definedName>
    <definedName name="______________________col3">#REF!</definedName>
    <definedName name="______________________col4">#REF!</definedName>
    <definedName name="______________________col5">#REF!</definedName>
    <definedName name="______________________col6">#REF!</definedName>
    <definedName name="______________________col7">#REF!</definedName>
    <definedName name="______________________col8">#REF!</definedName>
    <definedName name="______________________tab2">#REF!</definedName>
    <definedName name="______________________tab33">#REF!</definedName>
    <definedName name="_____________________col1">#REF!</definedName>
    <definedName name="_____________________col2">#REF!</definedName>
    <definedName name="_____________________col225">#REF!</definedName>
    <definedName name="_____________________col255">#REF!</definedName>
    <definedName name="_____________________col3">#REF!</definedName>
    <definedName name="_____________________col4">#REF!</definedName>
    <definedName name="_____________________col5">#REF!</definedName>
    <definedName name="_____________________col6">#REF!</definedName>
    <definedName name="_____________________col7">#REF!</definedName>
    <definedName name="_____________________col8">#REF!</definedName>
    <definedName name="_____________________tab2">#REF!</definedName>
    <definedName name="_____________________tab33">#REF!</definedName>
    <definedName name="____________________col1">#REF!</definedName>
    <definedName name="____________________col2">#REF!</definedName>
    <definedName name="____________________col225">#REF!</definedName>
    <definedName name="____________________col255">#REF!</definedName>
    <definedName name="____________________col3">#REF!</definedName>
    <definedName name="____________________col4">#REF!</definedName>
    <definedName name="____________________col5">#REF!</definedName>
    <definedName name="____________________col6">#REF!</definedName>
    <definedName name="____________________col7">#REF!</definedName>
    <definedName name="____________________col8">#REF!</definedName>
    <definedName name="____________________tab2">#REF!</definedName>
    <definedName name="____________________tab33">#REF!</definedName>
    <definedName name="___________________col1">#REF!</definedName>
    <definedName name="___________________col2">#REF!</definedName>
    <definedName name="___________________col225">#REF!</definedName>
    <definedName name="___________________col255">#REF!</definedName>
    <definedName name="___________________col3">#REF!</definedName>
    <definedName name="___________________col4">#REF!</definedName>
    <definedName name="___________________col5">#REF!</definedName>
    <definedName name="___________________col6">#REF!</definedName>
    <definedName name="___________________col7">#REF!</definedName>
    <definedName name="___________________col8">#REF!</definedName>
    <definedName name="___________________tab2">#REF!</definedName>
    <definedName name="___________________tab33">#REF!</definedName>
    <definedName name="__________________col1">#REF!</definedName>
    <definedName name="__________________col2">#REF!</definedName>
    <definedName name="__________________col225">#REF!</definedName>
    <definedName name="__________________col255">#REF!</definedName>
    <definedName name="__________________col3">#REF!</definedName>
    <definedName name="__________________col4">#REF!</definedName>
    <definedName name="__________________col5">#REF!</definedName>
    <definedName name="__________________col6">#REF!</definedName>
    <definedName name="__________________col7">#REF!</definedName>
    <definedName name="__________________col8">#REF!</definedName>
    <definedName name="__________________tab2">#REF!</definedName>
    <definedName name="__________________tab33">#REF!</definedName>
    <definedName name="_________________col1">#REF!</definedName>
    <definedName name="_________________col2">#REF!</definedName>
    <definedName name="_________________col225">#REF!</definedName>
    <definedName name="_________________col255">#REF!</definedName>
    <definedName name="_________________col3">#REF!</definedName>
    <definedName name="_________________col4">#REF!</definedName>
    <definedName name="_________________col5">#REF!</definedName>
    <definedName name="_________________col6">#REF!</definedName>
    <definedName name="_________________col7">#REF!</definedName>
    <definedName name="_________________col8">#REF!</definedName>
    <definedName name="_________________tab2">#REF!</definedName>
    <definedName name="_________________tab33">#REF!</definedName>
    <definedName name="________________col1">#REF!</definedName>
    <definedName name="________________col2">#REF!</definedName>
    <definedName name="________________col225">#REF!</definedName>
    <definedName name="________________col255">#REF!</definedName>
    <definedName name="________________col3">#REF!</definedName>
    <definedName name="________________col4">#REF!</definedName>
    <definedName name="________________col5">#REF!</definedName>
    <definedName name="________________col6">#REF!</definedName>
    <definedName name="________________col7">#REF!</definedName>
    <definedName name="________________col8">#REF!</definedName>
    <definedName name="________________tab2">#REF!</definedName>
    <definedName name="________________tab33">#REF!</definedName>
    <definedName name="_______________col1">#REF!</definedName>
    <definedName name="_______________col2">#REF!</definedName>
    <definedName name="_______________col225">#REF!</definedName>
    <definedName name="_______________col255">#REF!</definedName>
    <definedName name="_______________col3">#REF!</definedName>
    <definedName name="_______________col4">#REF!</definedName>
    <definedName name="_______________col5">#REF!</definedName>
    <definedName name="_______________col6">#REF!</definedName>
    <definedName name="_______________col7">#REF!</definedName>
    <definedName name="_______________col8">#REF!</definedName>
    <definedName name="_______________tab2">#REF!</definedName>
    <definedName name="_______________tab33">#REF!</definedName>
    <definedName name="______________col1">#REF!</definedName>
    <definedName name="______________col2">#REF!</definedName>
    <definedName name="______________col225">#REF!</definedName>
    <definedName name="______________col255">#REF!</definedName>
    <definedName name="______________col3">#REF!</definedName>
    <definedName name="______________col4">#REF!</definedName>
    <definedName name="______________col5">#REF!</definedName>
    <definedName name="______________col6">#REF!</definedName>
    <definedName name="______________col7">#REF!</definedName>
    <definedName name="______________col8">#REF!</definedName>
    <definedName name="______________tab2">#REF!</definedName>
    <definedName name="______________tab33">#REF!</definedName>
    <definedName name="_____________col1">#REF!</definedName>
    <definedName name="_____________col2">#REF!</definedName>
    <definedName name="_____________col225">#REF!</definedName>
    <definedName name="_____________col3">#REF!</definedName>
    <definedName name="_____________col4">#REF!</definedName>
    <definedName name="_____________col5">#REF!</definedName>
    <definedName name="_____________col6">#REF!</definedName>
    <definedName name="_____________col7">#REF!</definedName>
    <definedName name="_____________col8">#REF!</definedName>
    <definedName name="_____________tab2">#REF!</definedName>
    <definedName name="_____________tab33">#REF!</definedName>
    <definedName name="____________col1">#REF!</definedName>
    <definedName name="____________col2">#REF!</definedName>
    <definedName name="____________col225">#REF!</definedName>
    <definedName name="____________col255">#REF!</definedName>
    <definedName name="____________col3">#REF!</definedName>
    <definedName name="____________col4">#REF!</definedName>
    <definedName name="____________col5">#REF!</definedName>
    <definedName name="____________col6">#REF!</definedName>
    <definedName name="____________col7">#REF!</definedName>
    <definedName name="____________col8">#REF!</definedName>
    <definedName name="____________tab2">#REF!</definedName>
    <definedName name="____________tab33">#REF!</definedName>
    <definedName name="___________col1">#REF!</definedName>
    <definedName name="___________col2">#REF!</definedName>
    <definedName name="___________col255">#REF!</definedName>
    <definedName name="___________col3">#REF!</definedName>
    <definedName name="___________col4">#REF!</definedName>
    <definedName name="___________col5">#REF!</definedName>
    <definedName name="___________col6">#REF!</definedName>
    <definedName name="___________col7">#REF!</definedName>
    <definedName name="___________col8">#REF!</definedName>
    <definedName name="__________col1">#REF!</definedName>
    <definedName name="__________col2">#REF!</definedName>
    <definedName name="__________col225">#REF!</definedName>
    <definedName name="__________col255" localSheetId="5">#REF!</definedName>
    <definedName name="__________col3">#REF!</definedName>
    <definedName name="__________col4">#REF!</definedName>
    <definedName name="__________col5">#REF!</definedName>
    <definedName name="__________col6">#REF!</definedName>
    <definedName name="__________col7">#REF!</definedName>
    <definedName name="__________col8">#REF!</definedName>
    <definedName name="__________tab2">#REF!</definedName>
    <definedName name="__________tab33">#REF!</definedName>
    <definedName name="_________col1">#REF!</definedName>
    <definedName name="_________col2">#REF!</definedName>
    <definedName name="_________col225">#REF!</definedName>
    <definedName name="_________col255">#REF!</definedName>
    <definedName name="_________col3">#REF!</definedName>
    <definedName name="_________col4">#REF!</definedName>
    <definedName name="_________col5">#REF!</definedName>
    <definedName name="_________col6">#REF!</definedName>
    <definedName name="_________col7">#REF!</definedName>
    <definedName name="_________col8">#REF!</definedName>
    <definedName name="_________tab2">#REF!</definedName>
    <definedName name="_________tab33">#REF!</definedName>
    <definedName name="________col1">#REF!</definedName>
    <definedName name="________col2">#REF!</definedName>
    <definedName name="________col225">#REF!</definedName>
    <definedName name="________col255">#REF!</definedName>
    <definedName name="________col3">#REF!</definedName>
    <definedName name="________col4">#REF!</definedName>
    <definedName name="________col5">#REF!</definedName>
    <definedName name="________col6">#REF!</definedName>
    <definedName name="________col7">#REF!</definedName>
    <definedName name="________col8">#REF!</definedName>
    <definedName name="________tab2">#REF!</definedName>
    <definedName name="________tab33">#REF!</definedName>
    <definedName name="_______col1">#REF!</definedName>
    <definedName name="_______col2">#REF!</definedName>
    <definedName name="_______col225" localSheetId="5">#REF!</definedName>
    <definedName name="_______col255">#REF!</definedName>
    <definedName name="_______col3">#REF!</definedName>
    <definedName name="_______col4">#REF!</definedName>
    <definedName name="_______col5">#REF!</definedName>
    <definedName name="_______col6">#REF!</definedName>
    <definedName name="_______col7">#REF!</definedName>
    <definedName name="_______col8" localSheetId="14">#REF!</definedName>
    <definedName name="_______col8">#REF!</definedName>
    <definedName name="_______tab2" localSheetId="5">#REF!</definedName>
    <definedName name="_______tab33" localSheetId="5">#REF!</definedName>
    <definedName name="______col1">#REF!</definedName>
    <definedName name="______col2">#REF!</definedName>
    <definedName name="______col225">#REF!</definedName>
    <definedName name="______col255">#REF!</definedName>
    <definedName name="______col3">#REF!</definedName>
    <definedName name="______col4">#REF!</definedName>
    <definedName name="______col5">#REF!</definedName>
    <definedName name="______col6">#REF!</definedName>
    <definedName name="______col7">#REF!</definedName>
    <definedName name="______col8">#REF!</definedName>
    <definedName name="______tab2">#REF!</definedName>
    <definedName name="______tab33">#REF!</definedName>
    <definedName name="_____col1" localSheetId="14">#REF!</definedName>
    <definedName name="_____col1">#REF!</definedName>
    <definedName name="_____col2">#REF!</definedName>
    <definedName name="_____col225">#REF!</definedName>
    <definedName name="_____col255">#REF!</definedName>
    <definedName name="_____col3">#REF!</definedName>
    <definedName name="_____col4">#REF!</definedName>
    <definedName name="_____col5">#REF!</definedName>
    <definedName name="_____col6">#REF!</definedName>
    <definedName name="_____col7">#REF!</definedName>
    <definedName name="_____col8" localSheetId="4">#REF!</definedName>
    <definedName name="_____tab2">#REF!</definedName>
    <definedName name="_____tab33">#REF!</definedName>
    <definedName name="____col1">#REF!</definedName>
    <definedName name="____col2">#REF!</definedName>
    <definedName name="____col225">#REF!</definedName>
    <definedName name="____col255">#REF!</definedName>
    <definedName name="____col3">#REF!</definedName>
    <definedName name="____col4">#REF!</definedName>
    <definedName name="____col5">#REF!</definedName>
    <definedName name="____col6">#REF!</definedName>
    <definedName name="____col7">#REF!</definedName>
    <definedName name="____col8">#REF!</definedName>
    <definedName name="____tab2">#REF!</definedName>
    <definedName name="____tab33">#REF!</definedName>
    <definedName name="___col1">#REF!</definedName>
    <definedName name="___col2">#REF!</definedName>
    <definedName name="___col225">#REF!</definedName>
    <definedName name="___col255">#REF!</definedName>
    <definedName name="___col3">#REF!</definedName>
    <definedName name="___col4">#REF!</definedName>
    <definedName name="___col5">#REF!</definedName>
    <definedName name="___col6">#REF!</definedName>
    <definedName name="___col7">#REF!</definedName>
    <definedName name="___col8">#REF!</definedName>
    <definedName name="___tab2">#REF!</definedName>
    <definedName name="___tab33">#REF!</definedName>
    <definedName name="__col1">#REF!</definedName>
    <definedName name="__col2">#REF!</definedName>
    <definedName name="__col225">#REF!</definedName>
    <definedName name="__col255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_tab2">#REF!</definedName>
    <definedName name="__tab33">#REF!</definedName>
    <definedName name="_col1">#REF!</definedName>
    <definedName name="_col2">#REF!</definedName>
    <definedName name="_col225">#REF!</definedName>
    <definedName name="_col255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12" hidden="1">'Pohľadávky podľa pobočiek ZZ'!$A$3:$O$51</definedName>
    <definedName name="_tab2" localSheetId="7">#REF!</definedName>
    <definedName name="_tab2" localSheetId="6">#REF!</definedName>
    <definedName name="_tab2">#REF!</definedName>
    <definedName name="_tab33" localSheetId="7">#REF!</definedName>
    <definedName name="_tab33" localSheetId="6">#REF!</definedName>
    <definedName name="_tab33">#REF!</definedName>
    <definedName name="a" localSheetId="20">#REF!</definedName>
    <definedName name="a" localSheetId="22">#REF!</definedName>
    <definedName name="a" localSheetId="21">#REF!</definedName>
    <definedName name="a" localSheetId="4">#REF!</definedName>
    <definedName name="a" localSheetId="7">#REF!</definedName>
    <definedName name="a" localSheetId="5">#REF!</definedName>
    <definedName name="a">#REF!</definedName>
    <definedName name="aa" localSheetId="7">'[11]Budoucí hodnota - zadání'!#REF!</definedName>
    <definedName name="aa" localSheetId="5">'[11]Budoucí hodnota - zadání'!#REF!</definedName>
    <definedName name="aa">'[1]Budoucí hodnota - zadání'!#REF!</definedName>
    <definedName name="aaa" localSheetId="7">#REF!</definedName>
    <definedName name="aaa" localSheetId="6">#REF!</definedName>
    <definedName name="aaa" localSheetId="5">#REF!</definedName>
    <definedName name="aaa">#REF!</definedName>
    <definedName name="aaaaaaa" localSheetId="20">#REF!</definedName>
    <definedName name="aaaaaaa" localSheetId="22">#REF!</definedName>
    <definedName name="aaaaaaa" localSheetId="21">#REF!</definedName>
    <definedName name="aaaaaaa" localSheetId="19">#REF!</definedName>
    <definedName name="aaaaaaa" localSheetId="17">#REF!</definedName>
    <definedName name="aaaaaaa" localSheetId="23">#REF!</definedName>
    <definedName name="aaaaaaa">#REF!</definedName>
    <definedName name="aaaaaaaaaaaaa" localSheetId="20">#REF!</definedName>
    <definedName name="aaaaaaaaaaaaa" localSheetId="22">#REF!</definedName>
    <definedName name="aaaaaaaaaaaaa" localSheetId="21">#REF!</definedName>
    <definedName name="aaaaaaaaaaaaa" localSheetId="19">#REF!</definedName>
    <definedName name="aaaaaaaaaaaaa" localSheetId="17">#REF!</definedName>
    <definedName name="aaaaaaaaaaaaa" localSheetId="23">#REF!</definedName>
    <definedName name="aaaaaaaaaaaaa">#REF!</definedName>
    <definedName name="aaaaaaaaaaaaaaa" localSheetId="20">#REF!</definedName>
    <definedName name="aaaaaaaaaaaaaaa" localSheetId="22">#REF!</definedName>
    <definedName name="aaaaaaaaaaaaaaa" localSheetId="21">#REF!</definedName>
    <definedName name="aaaaaaaaaaaaaaa">#REF!</definedName>
    <definedName name="ab" localSheetId="7">#REF!</definedName>
    <definedName name="ab" localSheetId="5">#REF!</definedName>
    <definedName name="ab">#REF!</definedName>
    <definedName name="ä" localSheetId="20">'[2]Budoucí hodnota - zadání'!#REF!</definedName>
    <definedName name="ä" localSheetId="22">'[2]Budoucí hodnota - zadání'!#REF!</definedName>
    <definedName name="ä" localSheetId="21">'[2]Budoucí hodnota - zadání'!#REF!</definedName>
    <definedName name="ä" localSheetId="19">'[2]Budoucí hodnota - zadání'!#REF!</definedName>
    <definedName name="ä" localSheetId="17">'[2]Budoucí hodnota - zadání'!#REF!</definedName>
    <definedName name="ä" localSheetId="23">'[2]Budoucí hodnota - zadání'!#REF!</definedName>
    <definedName name="ä">'[2]Budoucí hodnota - zadání'!#REF!</definedName>
    <definedName name="bbb" localSheetId="7">#REF!</definedName>
    <definedName name="bbb" localSheetId="5">#REF!</definedName>
    <definedName name="bbb">#REF!</definedName>
    <definedName name="bbbb" localSheetId="20">'[1]Budoucí hodnota - zadání'!#REF!</definedName>
    <definedName name="bbbb" localSheetId="22">'[1]Budoucí hodnota - zadání'!#REF!</definedName>
    <definedName name="bbbb" localSheetId="21">'[1]Budoucí hodnota - zadání'!#REF!</definedName>
    <definedName name="bbbb" localSheetId="19">'[1]Budoucí hodnota - zadání'!#REF!</definedName>
    <definedName name="bbbb" localSheetId="17">'[1]Budoucí hodnota - zadání'!#REF!</definedName>
    <definedName name="bbbb" localSheetId="23">'[1]Budoucí hodnota - zadání'!#REF!</definedName>
    <definedName name="bbbb">'[1]Budoucí hodnota - zadání'!#REF!</definedName>
    <definedName name="bubina" localSheetId="5">#REF!</definedName>
    <definedName name="bubina">#REF!</definedName>
    <definedName name="BudgetTab" localSheetId="20">#REF!</definedName>
    <definedName name="BudgetTab" localSheetId="22">#REF!</definedName>
    <definedName name="BudgetTab" localSheetId="21">#REF!</definedName>
    <definedName name="BudgetTab" localSheetId="4">#REF!</definedName>
    <definedName name="BudgetTab" localSheetId="7">#REF!</definedName>
    <definedName name="BudgetTab" localSheetId="19">#REF!</definedName>
    <definedName name="BudgetTab" localSheetId="17">#REF!</definedName>
    <definedName name="BudgetTab" localSheetId="5">#REF!</definedName>
    <definedName name="BudgetTab" localSheetId="23">#REF!</definedName>
    <definedName name="BudgetTab">#REF!</definedName>
    <definedName name="ccc" localSheetId="7">#REF!</definedName>
    <definedName name="ccc" localSheetId="5">#REF!</definedName>
    <definedName name="ccc">#REF!</definedName>
    <definedName name="Celk_Zisk" localSheetId="7">[12]Scénář!$E$15</definedName>
    <definedName name="Celk_Zisk" localSheetId="5">[12]Scénář!$E$15</definedName>
    <definedName name="Celk_Zisk">[3]Scénář!$E$15</definedName>
    <definedName name="CelkZisk" localSheetId="20">#REF!</definedName>
    <definedName name="CelkZisk" localSheetId="22">#REF!</definedName>
    <definedName name="CelkZisk" localSheetId="21">#REF!</definedName>
    <definedName name="CelkZisk" localSheetId="7">#REF!</definedName>
    <definedName name="CelkZisk" localSheetId="19">#REF!</definedName>
    <definedName name="CelkZisk" localSheetId="17">#REF!</definedName>
    <definedName name="CelkZisk" localSheetId="6">#REF!</definedName>
    <definedName name="CelkZisk" localSheetId="5">#REF!</definedName>
    <definedName name="CelkZisk" localSheetId="23">#REF!</definedName>
    <definedName name="CelkZisk" localSheetId="14">#REF!</definedName>
    <definedName name="CelkZisk">#REF!</definedName>
    <definedName name="celkZisk1" localSheetId="20">#REF!</definedName>
    <definedName name="celkZisk1" localSheetId="22">#REF!</definedName>
    <definedName name="celkZisk1" localSheetId="21">#REF!</definedName>
    <definedName name="celkZisk1" localSheetId="19">#REF!</definedName>
    <definedName name="celkZisk1" localSheetId="17">#REF!</definedName>
    <definedName name="celkZisk1" localSheetId="23">#REF!</definedName>
    <definedName name="celkZisk1">#REF!</definedName>
    <definedName name="d" localSheetId="20">#REF!</definedName>
    <definedName name="d" localSheetId="22">#REF!</definedName>
    <definedName name="d" localSheetId="21">#REF!</definedName>
    <definedName name="d">#REF!</definedName>
    <definedName name="datumK" localSheetId="7">#REF!</definedName>
    <definedName name="datumK" localSheetId="5">#REF!</definedName>
    <definedName name="datumK" localSheetId="14">#REF!</definedName>
    <definedName name="datumK">#REF!</definedName>
    <definedName name="ddddddddd" localSheetId="20">#REF!</definedName>
    <definedName name="ddddddddd" localSheetId="22">#REF!</definedName>
    <definedName name="ddddddddd" localSheetId="21">#REF!</definedName>
    <definedName name="ddddddddd">#REF!</definedName>
    <definedName name="e" localSheetId="20">'[1]Budoucí hodnota - zadání'!#REF!</definedName>
    <definedName name="e" localSheetId="22">'[1]Budoucí hodnota - zadání'!#REF!</definedName>
    <definedName name="e" localSheetId="21">'[1]Budoucí hodnota - zadání'!#REF!</definedName>
    <definedName name="e">'[1]Budoucí hodnota - zadání'!#REF!</definedName>
    <definedName name="eeee" localSheetId="20">#REF!</definedName>
    <definedName name="eeee" localSheetId="22">#REF!</definedName>
    <definedName name="eeee" localSheetId="21">#REF!</definedName>
    <definedName name="eeee" localSheetId="19">#REF!</definedName>
    <definedName name="eeee" localSheetId="17">#REF!</definedName>
    <definedName name="eeee" localSheetId="23">#REF!</definedName>
    <definedName name="eeee">#REF!</definedName>
    <definedName name="eeeeeeeeee" localSheetId="20">#REF!</definedName>
    <definedName name="eeeeeeeeee" localSheetId="22">#REF!</definedName>
    <definedName name="eeeeeeeeee" localSheetId="21">#REF!</definedName>
    <definedName name="eeeeeeeeee" localSheetId="19">#REF!</definedName>
    <definedName name="eeeeeeeeee" localSheetId="17">#REF!</definedName>
    <definedName name="eeeeeeeeee" localSheetId="23">#REF!</definedName>
    <definedName name="eeeeeeeeee">#REF!</definedName>
    <definedName name="eeeeeeeeeeeeeeee" localSheetId="20">#REF!</definedName>
    <definedName name="eeeeeeeeeeeeeeee" localSheetId="22">#REF!</definedName>
    <definedName name="eeeeeeeeeeeeeeee" localSheetId="21">#REF!</definedName>
    <definedName name="eeeeeeeeeeeeeeee" localSheetId="19">#REF!</definedName>
    <definedName name="eeeeeeeeeeeeeeee" localSheetId="17">#REF!</definedName>
    <definedName name="eeeeeeeeeeeeeeee" localSheetId="23">#REF!</definedName>
    <definedName name="eeeeeeeeeeeeeeee">#REF!</definedName>
    <definedName name="ehdxjxrf" localSheetId="7">#REF!</definedName>
    <definedName name="ehdxjxrf" localSheetId="5">#REF!</definedName>
    <definedName name="ehdxjxrf" localSheetId="14">#REF!</definedName>
    <definedName name="ehdxjxrf">#REF!</definedName>
    <definedName name="f" localSheetId="20">#REF!</definedName>
    <definedName name="f" localSheetId="22">#REF!</definedName>
    <definedName name="f" localSheetId="21">#REF!</definedName>
    <definedName name="f">#REF!</definedName>
    <definedName name="fffff" localSheetId="20">#REF!</definedName>
    <definedName name="fffff" localSheetId="22">#REF!</definedName>
    <definedName name="fffff" localSheetId="21">#REF!</definedName>
    <definedName name="fffff">#REF!</definedName>
    <definedName name="fffffffffffff" localSheetId="20">#REF!</definedName>
    <definedName name="fffffffffffff" localSheetId="22">#REF!</definedName>
    <definedName name="fffffffffffff" localSheetId="21">#REF!</definedName>
    <definedName name="fffffffffffff">#REF!</definedName>
    <definedName name="ffffffffffffffffffffffff" localSheetId="20">#REF!</definedName>
    <definedName name="ffffffffffffffffffffffff" localSheetId="22">#REF!</definedName>
    <definedName name="ffffffffffffffffffffffff" localSheetId="21">#REF!</definedName>
    <definedName name="ffffffffffffffffffffffff">#REF!</definedName>
    <definedName name="ffffffffffffffffffffffffff" localSheetId="20">#REF!</definedName>
    <definedName name="ffffffffffffffffffffffffff" localSheetId="22">#REF!</definedName>
    <definedName name="ffffffffffffffffffffffffff" localSheetId="21">#REF!</definedName>
    <definedName name="ffffffffffffffffffffffffff">#REF!</definedName>
    <definedName name="ffffffffffffffffffffffffffffffffffffff" localSheetId="20">'[1]Budoucí hodnota - zadání'!#REF!</definedName>
    <definedName name="ffffffffffffffffffffffffffffffffffffff" localSheetId="22">'[1]Budoucí hodnota - zadání'!#REF!</definedName>
    <definedName name="ffffffffffffffffffffffffffffffffffffff" localSheetId="21">'[1]Budoucí hodnota - zadání'!#REF!</definedName>
    <definedName name="ffffffffffffffffffffffffffffffffffffff">'[1]Budoucí hodnota - zadání'!#REF!</definedName>
    <definedName name="fghfgjjgf" localSheetId="20">#REF!</definedName>
    <definedName name="fghfgjjgf" localSheetId="22">#REF!</definedName>
    <definedName name="fghfgjjgf" localSheetId="21">#REF!</definedName>
    <definedName name="fghfgjjgf" localSheetId="19">#REF!</definedName>
    <definedName name="fghfgjjgf" localSheetId="17">#REF!</definedName>
    <definedName name="fghfgjjgf" localSheetId="23">#REF!</definedName>
    <definedName name="fghfgjjgf">#REF!</definedName>
    <definedName name="Format" localSheetId="20">#REF!</definedName>
    <definedName name="Format" localSheetId="22">#REF!</definedName>
    <definedName name="Format" localSheetId="21">#REF!</definedName>
    <definedName name="Format" localSheetId="4">#REF!</definedName>
    <definedName name="Format" localSheetId="7">#REF!</definedName>
    <definedName name="Format" localSheetId="19">#REF!</definedName>
    <definedName name="Format" localSheetId="17">#REF!</definedName>
    <definedName name="Format" localSheetId="5">#REF!</definedName>
    <definedName name="Format" localSheetId="23">#REF!</definedName>
    <definedName name="Format">#REF!</definedName>
    <definedName name="g" localSheetId="20">#REF!</definedName>
    <definedName name="g" localSheetId="22">#REF!</definedName>
    <definedName name="g" localSheetId="21">#REF!</definedName>
    <definedName name="g" localSheetId="19">#REF!</definedName>
    <definedName name="g" localSheetId="17">#REF!</definedName>
    <definedName name="g" localSheetId="23">#REF!</definedName>
    <definedName name="g">#REF!</definedName>
    <definedName name="gfgfggfgf" localSheetId="20">'[2]Budoucí hodnota - zadání'!#REF!</definedName>
    <definedName name="gfgfggfgf" localSheetId="22">'[2]Budoucí hodnota - zadání'!#REF!</definedName>
    <definedName name="gfgfggfgf" localSheetId="21">'[2]Budoucí hodnota - zadání'!#REF!</definedName>
    <definedName name="gfgfggfgf" localSheetId="19">'[2]Budoucí hodnota - zadání'!#REF!</definedName>
    <definedName name="gfgfggfgf" localSheetId="17">'[2]Budoucí hodnota - zadání'!#REF!</definedName>
    <definedName name="gfgfggfgf" localSheetId="23">'[2]Budoucí hodnota - zadání'!#REF!</definedName>
    <definedName name="gfgfggfgf">'[2]Budoucí hodnota - zadání'!#REF!</definedName>
    <definedName name="ggggggggg" localSheetId="20">#REF!</definedName>
    <definedName name="ggggggggg" localSheetId="22">#REF!</definedName>
    <definedName name="ggggggggg" localSheetId="21">#REF!</definedName>
    <definedName name="ggggggggg" localSheetId="19">#REF!</definedName>
    <definedName name="ggggggggg" localSheetId="17">#REF!</definedName>
    <definedName name="ggggggggg" localSheetId="23">#REF!</definedName>
    <definedName name="ggggggggg">#REF!</definedName>
    <definedName name="gggggggggggg" localSheetId="20">'[2]Budoucí hodnota - zadání'!#REF!</definedName>
    <definedName name="gggggggggggg" localSheetId="22">'[2]Budoucí hodnota - zadání'!#REF!</definedName>
    <definedName name="gggggggggggg" localSheetId="21">'[2]Budoucí hodnota - zadání'!#REF!</definedName>
    <definedName name="gggggggggggg" localSheetId="19">'[2]Budoucí hodnota - zadání'!#REF!</definedName>
    <definedName name="gggggggggggg" localSheetId="17">'[2]Budoucí hodnota - zadání'!#REF!</definedName>
    <definedName name="gggggggggggg" localSheetId="23">'[2]Budoucí hodnota - zadání'!#REF!</definedName>
    <definedName name="gggggggggggg">'[2]Budoucí hodnota - zadání'!#REF!</definedName>
    <definedName name="gggggggggggggggggggggggggggg" localSheetId="20">'[2]Budoucí hodnota - zadání'!#REF!</definedName>
    <definedName name="gggggggggggggggggggggggggggg" localSheetId="22">'[2]Budoucí hodnota - zadání'!#REF!</definedName>
    <definedName name="gggggggggggggggggggggggggggg" localSheetId="21">'[2]Budoucí hodnota - zadání'!#REF!</definedName>
    <definedName name="gggggggggggggggggggggggggggg" localSheetId="19">'[2]Budoucí hodnota - zadání'!#REF!</definedName>
    <definedName name="gggggggggggggggggggggggggggg" localSheetId="17">'[2]Budoucí hodnota - zadání'!#REF!</definedName>
    <definedName name="gggggggggggggggggggggggggggg" localSheetId="23">'[2]Budoucí hodnota - zadání'!#REF!</definedName>
    <definedName name="gggggggggggggggggggggggggggg">'[2]Budoucí hodnota - zadání'!#REF!</definedName>
    <definedName name="h" localSheetId="20">#REF!</definedName>
    <definedName name="h" localSheetId="22">#REF!</definedName>
    <definedName name="h" localSheetId="21">#REF!</definedName>
    <definedName name="h" localSheetId="19">#REF!</definedName>
    <definedName name="h" localSheetId="17">#REF!</definedName>
    <definedName name="h" localSheetId="23">#REF!</definedName>
    <definedName name="h">#REF!</definedName>
    <definedName name="hggfghdgjdgmdghncg" localSheetId="20">'[1]Budoucí hodnota - zadání'!#REF!</definedName>
    <definedName name="hggfghdgjdgmdghncg" localSheetId="22">'[1]Budoucí hodnota - zadání'!#REF!</definedName>
    <definedName name="hggfghdgjdgmdghncg" localSheetId="21">'[1]Budoucí hodnota - zadání'!#REF!</definedName>
    <definedName name="hggfghdgjdgmdghncg" localSheetId="19">'[1]Budoucí hodnota - zadání'!#REF!</definedName>
    <definedName name="hggfghdgjdgmdghncg" localSheetId="17">'[1]Budoucí hodnota - zadání'!#REF!</definedName>
    <definedName name="hggfghdgjdgmdghncg" localSheetId="23">'[1]Budoucí hodnota - zadání'!#REF!</definedName>
    <definedName name="hggfghdgjdgmdghncg">'[1]Budoucí hodnota - zadání'!#REF!</definedName>
    <definedName name="hhhh" localSheetId="20">#REF!</definedName>
    <definedName name="hhhh" localSheetId="22">#REF!</definedName>
    <definedName name="hhhh" localSheetId="21">#REF!</definedName>
    <definedName name="hhhh" localSheetId="19">#REF!</definedName>
    <definedName name="hhhh" localSheetId="17">#REF!</definedName>
    <definedName name="hhhh" localSheetId="23">#REF!</definedName>
    <definedName name="hhhh">#REF!</definedName>
    <definedName name="hhhhhhhhhhhhhhhhhh" localSheetId="20">#REF!</definedName>
    <definedName name="hhhhhhhhhhhhhhhhhh" localSheetId="22">#REF!</definedName>
    <definedName name="hhhhhhhhhhhhhhhhhh" localSheetId="21">#REF!</definedName>
    <definedName name="hhhhhhhhhhhhhhhhhh" localSheetId="19">#REF!</definedName>
    <definedName name="hhhhhhhhhhhhhhhhhh" localSheetId="17">#REF!</definedName>
    <definedName name="hhhhhhhhhhhhhhhhhh" localSheetId="23">#REF!</definedName>
    <definedName name="hhhhhhhhhhhhhhhhhh">#REF!</definedName>
    <definedName name="hhhhhhhhhhhhhhhhhhhhhhhhhhh" localSheetId="20">'[1]Budoucí hodnota - zadání'!#REF!</definedName>
    <definedName name="hhhhhhhhhhhhhhhhhhhhhhhhhhh" localSheetId="22">'[1]Budoucí hodnota - zadání'!#REF!</definedName>
    <definedName name="hhhhhhhhhhhhhhhhhhhhhhhhhhh" localSheetId="21">'[1]Budoucí hodnota - zadání'!#REF!</definedName>
    <definedName name="hhhhhhhhhhhhhhhhhhhhhhhhhhh" localSheetId="19">'[1]Budoucí hodnota - zadání'!#REF!</definedName>
    <definedName name="hhhhhhhhhhhhhhhhhhhhhhhhhhh" localSheetId="17">'[1]Budoucí hodnota - zadání'!#REF!</definedName>
    <definedName name="hhhhhhhhhhhhhhhhhhhhhhhhhhh" localSheetId="23">'[1]Budoucí hodnota - zadání'!#REF!</definedName>
    <definedName name="hhhhhhhhhhhhhhhhhhhhhhhhhhh">'[1]Budoucí hodnota - zadání'!#REF!</definedName>
    <definedName name="HrubyZisk" localSheetId="20">#REF!</definedName>
    <definedName name="HrubyZisk" localSheetId="22">#REF!</definedName>
    <definedName name="HrubyZisk" localSheetId="21">#REF!</definedName>
    <definedName name="HrubyZisk" localSheetId="7">#REF!</definedName>
    <definedName name="HrubyZisk" localSheetId="19">#REF!</definedName>
    <definedName name="HrubyZisk" localSheetId="17">#REF!</definedName>
    <definedName name="HrubyZisk" localSheetId="5">#REF!</definedName>
    <definedName name="HrubyZisk" localSheetId="23">#REF!</definedName>
    <definedName name="HrubyZisk">#REF!</definedName>
    <definedName name="i" localSheetId="20">#REF!</definedName>
    <definedName name="i" localSheetId="22">#REF!</definedName>
    <definedName name="i" localSheetId="21">#REF!</definedName>
    <definedName name="i" localSheetId="19">#REF!</definedName>
    <definedName name="i" localSheetId="17">#REF!</definedName>
    <definedName name="i" localSheetId="23">#REF!</definedName>
    <definedName name="i">#REF!</definedName>
    <definedName name="j" localSheetId="20">#REF!</definedName>
    <definedName name="j" localSheetId="22">#REF!</definedName>
    <definedName name="j" localSheetId="21">#REF!</definedName>
    <definedName name="j" localSheetId="19">#REF!</definedName>
    <definedName name="j" localSheetId="17">#REF!</definedName>
    <definedName name="j" localSheetId="23">#REF!</definedName>
    <definedName name="j">#REF!</definedName>
    <definedName name="jfhdghgjfc" localSheetId="20">#REF!</definedName>
    <definedName name="jfhdghgjfc" localSheetId="22">#REF!</definedName>
    <definedName name="jfhdghgjfc" localSheetId="21">#REF!</definedName>
    <definedName name="jfhdghgjfc">#REF!</definedName>
    <definedName name="jjjjjjjjjjjjjjjjjjjjj" localSheetId="20">#REF!</definedName>
    <definedName name="jjjjjjjjjjjjjjjjjjjjj" localSheetId="22">#REF!</definedName>
    <definedName name="jjjjjjjjjjjjjjjjjjjjj" localSheetId="21">#REF!</definedName>
    <definedName name="jjjjjjjjjjjjjjjjjjjjj">#REF!</definedName>
    <definedName name="jjjjjjjjjjjjjjjjjjjjjjjjjjjjjjjjjjjj" localSheetId="20">#REF!</definedName>
    <definedName name="jjjjjjjjjjjjjjjjjjjjjjjjjjjjjjjjjjjj" localSheetId="22">#REF!</definedName>
    <definedName name="jjjjjjjjjjjjjjjjjjjjjjjjjjjjjjjjjjjj" localSheetId="21">#REF!</definedName>
    <definedName name="jjjjjjjjjjjjjjjjjjjjjjjjjjjjjjjjjjjj">#REF!</definedName>
    <definedName name="jún" localSheetId="20">'[1]Budoucí hodnota - zadání'!#REF!</definedName>
    <definedName name="jún" localSheetId="22">'[1]Budoucí hodnota - zadání'!#REF!</definedName>
    <definedName name="jún" localSheetId="21">'[1]Budoucí hodnota - zadání'!#REF!</definedName>
    <definedName name="jún">'[1]Budoucí hodnota - zadání'!#REF!</definedName>
    <definedName name="k" localSheetId="7">#REF!</definedName>
    <definedName name="k" localSheetId="6">#REF!</definedName>
    <definedName name="k">#REF!</definedName>
    <definedName name="kdsjkfhakj" localSheetId="20">#REF!</definedName>
    <definedName name="kdsjkfhakj" localSheetId="22">#REF!</definedName>
    <definedName name="kdsjkfhakj" localSheetId="21">#REF!</definedName>
    <definedName name="kdsjkfhakj" localSheetId="19">#REF!</definedName>
    <definedName name="kdsjkfhakj" localSheetId="17">#REF!</definedName>
    <definedName name="kdsjkfhakj" localSheetId="23">#REF!</definedName>
    <definedName name="kdsjkfhakj">#REF!</definedName>
    <definedName name="kjhjkcyxhjodj" localSheetId="20">'[2]Budoucí hodnota - zadání'!#REF!</definedName>
    <definedName name="kjhjkcyxhjodj" localSheetId="22">'[2]Budoucí hodnota - zadání'!#REF!</definedName>
    <definedName name="kjhjkcyxhjodj" localSheetId="21">'[2]Budoucí hodnota - zadání'!#REF!</definedName>
    <definedName name="kjhjkcyxhjodj" localSheetId="19">'[2]Budoucí hodnota - zadání'!#REF!</definedName>
    <definedName name="kjhjkcyxhjodj" localSheetId="17">'[2]Budoucí hodnota - zadání'!#REF!</definedName>
    <definedName name="kjhjkcyxhjodj" localSheetId="23">'[2]Budoucí hodnota - zadání'!#REF!</definedName>
    <definedName name="kjhjkcyxhjodj">'[2]Budoucí hodnota - zadání'!#REF!</definedName>
    <definedName name="kkkk" localSheetId="20">#REF!</definedName>
    <definedName name="kkkk" localSheetId="22">#REF!</definedName>
    <definedName name="kkkk" localSheetId="21">#REF!</definedName>
    <definedName name="kkkk" localSheetId="19">#REF!</definedName>
    <definedName name="kkkk" localSheetId="17">#REF!</definedName>
    <definedName name="kkkk" localSheetId="23">#REF!</definedName>
    <definedName name="kkkk">#REF!</definedName>
    <definedName name="kkkkkkkk" localSheetId="20">#REF!</definedName>
    <definedName name="kkkkkkkk" localSheetId="22">#REF!</definedName>
    <definedName name="kkkkkkkk" localSheetId="21">#REF!</definedName>
    <definedName name="kkkkkkkk" localSheetId="19">#REF!</definedName>
    <definedName name="kkkkkkkk" localSheetId="17">#REF!</definedName>
    <definedName name="kkkkkkkk" localSheetId="23">#REF!</definedName>
    <definedName name="kkkkkkkk">#REF!</definedName>
    <definedName name="kkkkkkkkkk" localSheetId="20">#REF!</definedName>
    <definedName name="kkkkkkkkkk" localSheetId="22">#REF!</definedName>
    <definedName name="kkkkkkkkkk" localSheetId="21">#REF!</definedName>
    <definedName name="kkkkkkkkkk" localSheetId="19">#REF!</definedName>
    <definedName name="kkkkkkkkkk" localSheetId="17">#REF!</definedName>
    <definedName name="kkkkkkkkkk" localSheetId="23">#REF!</definedName>
    <definedName name="kkkkkkkkkk">#REF!</definedName>
    <definedName name="kkkkkkkkkkkk" localSheetId="20">'[2]Budoucí hodnota - zadání'!#REF!</definedName>
    <definedName name="kkkkkkkkkkkk" localSheetId="22">'[2]Budoucí hodnota - zadání'!#REF!</definedName>
    <definedName name="kkkkkkkkkkkk" localSheetId="21">'[2]Budoucí hodnota - zadání'!#REF!</definedName>
    <definedName name="kkkkkkkkkkkk" localSheetId="19">'[2]Budoucí hodnota - zadání'!#REF!</definedName>
    <definedName name="kkkkkkkkkkkk" localSheetId="17">'[2]Budoucí hodnota - zadání'!#REF!</definedName>
    <definedName name="kkkkkkkkkkkk" localSheetId="23">'[2]Budoucí hodnota - zadání'!#REF!</definedName>
    <definedName name="kkkkkkkkkkkk">'[2]Budoucí hodnota - zadání'!#REF!</definedName>
    <definedName name="mmm" localSheetId="20">#REF!</definedName>
    <definedName name="mmm" localSheetId="22">#REF!</definedName>
    <definedName name="mmm" localSheetId="21">#REF!</definedName>
    <definedName name="mmm" localSheetId="7">#REF!</definedName>
    <definedName name="mmm" localSheetId="19">#REF!</definedName>
    <definedName name="mmm" localSheetId="17">#REF!</definedName>
    <definedName name="mmm" localSheetId="6">#REF!</definedName>
    <definedName name="mmm" localSheetId="23">#REF!</definedName>
    <definedName name="mmm">#REF!</definedName>
    <definedName name="mmmm" localSheetId="20">#REF!</definedName>
    <definedName name="mmmm" localSheetId="22">#REF!</definedName>
    <definedName name="mmmm" localSheetId="21">#REF!</definedName>
    <definedName name="mmmm" localSheetId="19">#REF!</definedName>
    <definedName name="mmmm" localSheetId="17">#REF!</definedName>
    <definedName name="mmmm" localSheetId="23">#REF!</definedName>
    <definedName name="mmmm">#REF!</definedName>
    <definedName name="mmmmmmmmmmmmmmmmmmmm" localSheetId="20">#REF!</definedName>
    <definedName name="mmmmmmmmmmmmmmmmmmmm" localSheetId="22">#REF!</definedName>
    <definedName name="mmmmmmmmmmmmmmmmmmmm" localSheetId="21">#REF!</definedName>
    <definedName name="mmmmmmmmmmmmmmmmmmmm" localSheetId="19">#REF!</definedName>
    <definedName name="mmmmmmmmmmmmmmmmmmmm" localSheetId="17">#REF!</definedName>
    <definedName name="mmmmmmmmmmmmmmmmmmmm" localSheetId="23">#REF!</definedName>
    <definedName name="mmmmmmmmmmmmmmmmmmmm">#REF!</definedName>
    <definedName name="_xlnm.Print_Titles" localSheetId="11">'Pohľadávky voči  ZZ'!#REF!</definedName>
    <definedName name="_xlnm.Print_Titles" localSheetId="23">'Úprava RR'!$6:$7</definedName>
    <definedName name="nnnnnnnnnnnnnnnnnnn" localSheetId="20">#REF!</definedName>
    <definedName name="nnnnnnnnnnnnnnnnnnn" localSheetId="22">#REF!</definedName>
    <definedName name="nnnnnnnnnnnnnnnnnnn" localSheetId="21">#REF!</definedName>
    <definedName name="nnnnnnnnnnnnnnnnnnn">#REF!</definedName>
    <definedName name="NZbozi">[4]Test1!$B$89:$D$96</definedName>
    <definedName name="o" localSheetId="20">#REF!</definedName>
    <definedName name="o" localSheetId="22">#REF!</definedName>
    <definedName name="o" localSheetId="21">#REF!</definedName>
    <definedName name="o" localSheetId="19">#REF!</definedName>
    <definedName name="o" localSheetId="17">#REF!</definedName>
    <definedName name="o" localSheetId="23">#REF!</definedName>
    <definedName name="o">#REF!</definedName>
    <definedName name="obraz" localSheetId="7">#REF!</definedName>
    <definedName name="obraz" localSheetId="6">#REF!</definedName>
    <definedName name="obraz" localSheetId="5">#REF!</definedName>
    <definedName name="obraz">#REF!</definedName>
    <definedName name="Opravy" localSheetId="20">#REF!</definedName>
    <definedName name="Opravy" localSheetId="22">#REF!</definedName>
    <definedName name="Opravy" localSheetId="21">#REF!</definedName>
    <definedName name="Opravy" localSheetId="7">#REF!</definedName>
    <definedName name="Opravy" localSheetId="5">#REF!</definedName>
    <definedName name="Opravy" localSheetId="14">#REF!</definedName>
    <definedName name="Opravy">#REF!</definedName>
    <definedName name="Ostatni" localSheetId="20">#REF!</definedName>
    <definedName name="Ostatni" localSheetId="22">#REF!</definedName>
    <definedName name="Ostatni" localSheetId="21">#REF!</definedName>
    <definedName name="Ostatni" localSheetId="7">#REF!</definedName>
    <definedName name="Ostatni" localSheetId="5">#REF!</definedName>
    <definedName name="Ostatni">#REF!</definedName>
    <definedName name="p" localSheetId="20">'[1]Budoucí hodnota - zadání'!#REF!</definedName>
    <definedName name="p" localSheetId="22">'[1]Budoucí hodnota - zadání'!#REF!</definedName>
    <definedName name="p" localSheetId="21">'[1]Budoucí hodnota - zadání'!#REF!</definedName>
    <definedName name="p">'[1]Budoucí hodnota - zadání'!#REF!</definedName>
    <definedName name="pl" localSheetId="20">#REF!</definedName>
    <definedName name="pl" localSheetId="22">#REF!</definedName>
    <definedName name="pl" localSheetId="21">#REF!</definedName>
    <definedName name="pl" localSheetId="19">#REF!</definedName>
    <definedName name="pl" localSheetId="17">#REF!</definedName>
    <definedName name="pl" localSheetId="23">#REF!</definedName>
    <definedName name="pl">#REF!</definedName>
    <definedName name="pobočky" localSheetId="5">#REF!</definedName>
    <definedName name="pobočky">#REF!</definedName>
    <definedName name="PocetNavstev" localSheetId="20">#REF!</definedName>
    <definedName name="PocetNavstev" localSheetId="22">#REF!</definedName>
    <definedName name="PocetNavstev" localSheetId="21">#REF!</definedName>
    <definedName name="PocetNavstev" localSheetId="7">#REF!</definedName>
    <definedName name="PocetNavstev" localSheetId="19">#REF!</definedName>
    <definedName name="PocetNavstev" localSheetId="17">#REF!</definedName>
    <definedName name="PocetNavstev" localSheetId="5">#REF!</definedName>
    <definedName name="PocetNavstev" localSheetId="23">#REF!</definedName>
    <definedName name="PocetNavstev">#REF!</definedName>
    <definedName name="pppp" localSheetId="20">#REF!</definedName>
    <definedName name="pppp" localSheetId="22">#REF!</definedName>
    <definedName name="pppp" localSheetId="21">#REF!</definedName>
    <definedName name="pppp">#REF!</definedName>
    <definedName name="ppppppppppppp" localSheetId="20">#REF!</definedName>
    <definedName name="ppppppppppppp" localSheetId="22">#REF!</definedName>
    <definedName name="ppppppppppppp" localSheetId="21">#REF!</definedName>
    <definedName name="ppppppppppppp">#REF!</definedName>
    <definedName name="PrijemNaZakaz" localSheetId="20">#REF!</definedName>
    <definedName name="PrijemNaZakaz" localSheetId="22">#REF!</definedName>
    <definedName name="PrijemNaZakaz" localSheetId="21">#REF!</definedName>
    <definedName name="PrijemNaZakaz" localSheetId="7">#REF!</definedName>
    <definedName name="PrijemNaZakaz" localSheetId="5">#REF!</definedName>
    <definedName name="PrijemNaZakaz">#REF!</definedName>
    <definedName name="produkt" localSheetId="20">'[1]Budoucí hodnota - zadání'!#REF!</definedName>
    <definedName name="produkt" localSheetId="22">'[1]Budoucí hodnota - zadání'!#REF!</definedName>
    <definedName name="produkt" localSheetId="21">'[1]Budoucí hodnota - zadání'!#REF!</definedName>
    <definedName name="produkt" localSheetId="4">'[11]Budoucí hodnota - zadání'!#REF!</definedName>
    <definedName name="produkt" localSheetId="7">'[11]Budoucí hodnota - zadání'!#REF!</definedName>
    <definedName name="produkt" localSheetId="5">'[11]Budoucí hodnota - zadání'!#REF!</definedName>
    <definedName name="produkt">'[1]Budoucí hodnota - zadání'!#REF!</definedName>
    <definedName name="produkt22" localSheetId="20">'[2]Budoucí hodnota - zadání'!#REF!</definedName>
    <definedName name="produkt22" localSheetId="22">'[2]Budoucí hodnota - zadání'!#REF!</definedName>
    <definedName name="produkt22" localSheetId="21">'[2]Budoucí hodnota - zadání'!#REF!</definedName>
    <definedName name="produkt22">'[2]Budoucí hodnota - zadání'!#REF!</definedName>
    <definedName name="PRODUKT3" localSheetId="20">'[2]Budoucí hodnota - zadání'!#REF!</definedName>
    <definedName name="PRODUKT3" localSheetId="22">'[2]Budoucí hodnota - zadání'!#REF!</definedName>
    <definedName name="PRODUKT3" localSheetId="21">'[2]Budoucí hodnota - zadání'!#REF!</definedName>
    <definedName name="PRODUKT3">'[2]Budoucí hodnota - zadání'!#REF!</definedName>
    <definedName name="q" localSheetId="20">#REF!</definedName>
    <definedName name="q" localSheetId="22">#REF!</definedName>
    <definedName name="q" localSheetId="21">#REF!</definedName>
    <definedName name="q" localSheetId="19">#REF!</definedName>
    <definedName name="q" localSheetId="17">#REF!</definedName>
    <definedName name="q" localSheetId="23">#REF!</definedName>
    <definedName name="q">#REF!</definedName>
    <definedName name="qqq" localSheetId="20">#REF!</definedName>
    <definedName name="qqq" localSheetId="22">#REF!</definedName>
    <definedName name="qqq" localSheetId="21">#REF!</definedName>
    <definedName name="qqq" localSheetId="19">#REF!</definedName>
    <definedName name="qqq" localSheetId="17">#REF!</definedName>
    <definedName name="qqq" localSheetId="23">#REF!</definedName>
    <definedName name="qqq">#REF!</definedName>
    <definedName name="qqqqq" localSheetId="20">#REF!</definedName>
    <definedName name="qqqqq" localSheetId="22">#REF!</definedName>
    <definedName name="qqqqq" localSheetId="21">#REF!</definedName>
    <definedName name="qqqqq" localSheetId="19">#REF!</definedName>
    <definedName name="qqqqq" localSheetId="17">#REF!</definedName>
    <definedName name="qqqqq" localSheetId="23">#REF!</definedName>
    <definedName name="qqqqq">#REF!</definedName>
    <definedName name="qqqqqqqqqqq" localSheetId="20">#REF!</definedName>
    <definedName name="qqqqqqqqqqq" localSheetId="22">#REF!</definedName>
    <definedName name="qqqqqqqqqqq" localSheetId="21">#REF!</definedName>
    <definedName name="qqqqqqqqqqq">#REF!</definedName>
    <definedName name="qqqqqqqqqqqq" localSheetId="20">#REF!</definedName>
    <definedName name="qqqqqqqqqqqq" localSheetId="22">#REF!</definedName>
    <definedName name="qqqqqqqqqqqq" localSheetId="21">#REF!</definedName>
    <definedName name="qqqqqqqqqqqq">#REF!</definedName>
    <definedName name="qqqqqqqqqqqqq" localSheetId="20">#REF!</definedName>
    <definedName name="qqqqqqqqqqqqq" localSheetId="22">#REF!</definedName>
    <definedName name="qqqqqqqqqqqqq" localSheetId="21">#REF!</definedName>
    <definedName name="qqqqqqqqqqqqq">#REF!</definedName>
    <definedName name="qqqqqqqqqqqqqqq" localSheetId="20">#REF!</definedName>
    <definedName name="qqqqqqqqqqqqqqq" localSheetId="22">#REF!</definedName>
    <definedName name="qqqqqqqqqqqqqqq" localSheetId="21">#REF!</definedName>
    <definedName name="qqqqqqqqqqqqqqq">#REF!</definedName>
    <definedName name="qqqqqqqqqqqqqqqq" localSheetId="20">'[2]Budoucí hodnota - zadání'!#REF!</definedName>
    <definedName name="qqqqqqqqqqqqqqqq" localSheetId="22">'[2]Budoucí hodnota - zadání'!#REF!</definedName>
    <definedName name="qqqqqqqqqqqqqqqq" localSheetId="21">'[2]Budoucí hodnota - zadání'!#REF!</definedName>
    <definedName name="qqqqqqqqqqqqqqqq">'[2]Budoucí hodnota - zadání'!#REF!</definedName>
    <definedName name="qqqqqqqqqqqqqqqqq" localSheetId="20">#REF!</definedName>
    <definedName name="qqqqqqqqqqqqqqqqq" localSheetId="22">#REF!</definedName>
    <definedName name="qqqqqqqqqqqqqqqqq" localSheetId="21">#REF!</definedName>
    <definedName name="qqqqqqqqqqqqqqqqq" localSheetId="19">#REF!</definedName>
    <definedName name="qqqqqqqqqqqqqqqqq" localSheetId="17">#REF!</definedName>
    <definedName name="qqqqqqqqqqqqqqqqq" localSheetId="23">#REF!</definedName>
    <definedName name="qqqqqqqqqqqqqqqqq">#REF!</definedName>
    <definedName name="Reklama" localSheetId="20">#REF!</definedName>
    <definedName name="Reklama" localSheetId="22">#REF!</definedName>
    <definedName name="Reklama" localSheetId="21">#REF!</definedName>
    <definedName name="Reklama" localSheetId="7">#REF!</definedName>
    <definedName name="Reklama" localSheetId="19">#REF!</definedName>
    <definedName name="Reklama" localSheetId="17">#REF!</definedName>
    <definedName name="Reklama" localSheetId="6">#REF!</definedName>
    <definedName name="Reklama" localSheetId="5">#REF!</definedName>
    <definedName name="Reklama" localSheetId="23">#REF!</definedName>
    <definedName name="Reklama">#REF!</definedName>
    <definedName name="Revenue" localSheetId="20">#REF!</definedName>
    <definedName name="Revenue" localSheetId="22">#REF!</definedName>
    <definedName name="Revenue" localSheetId="21">#REF!</definedName>
    <definedName name="Revenue" localSheetId="7">#REF!</definedName>
    <definedName name="Revenue" localSheetId="5">#REF!</definedName>
    <definedName name="Revenue" localSheetId="14">#REF!</definedName>
    <definedName name="Revenue">#REF!</definedName>
    <definedName name="rr" localSheetId="20">#REF!</definedName>
    <definedName name="rr" localSheetId="22">#REF!</definedName>
    <definedName name="rr" localSheetId="21">#REF!</definedName>
    <definedName name="rr">#REF!</definedName>
    <definedName name="rrrrrrrrrrr" localSheetId="20">'[1]Budoucí hodnota - zadání'!#REF!</definedName>
    <definedName name="rrrrrrrrrrr" localSheetId="22">'[1]Budoucí hodnota - zadání'!#REF!</definedName>
    <definedName name="rrrrrrrrrrr" localSheetId="21">'[1]Budoucí hodnota - zadání'!#REF!</definedName>
    <definedName name="rrrrrrrrrrr">'[1]Budoucí hodnota - zadání'!#REF!</definedName>
    <definedName name="rrrrrrrrrrrrrrrrrrrrrrrr" localSheetId="20">#REF!</definedName>
    <definedName name="rrrrrrrrrrrrrrrrrrrrrrrr" localSheetId="22">#REF!</definedName>
    <definedName name="rrrrrrrrrrrrrrrrrrrrrrrr" localSheetId="21">#REF!</definedName>
    <definedName name="rrrrrrrrrrrrrrrrrrrrrrrr" localSheetId="19">#REF!</definedName>
    <definedName name="rrrrrrrrrrrrrrrrrrrrrrrr" localSheetId="17">#REF!</definedName>
    <definedName name="rrrrrrrrrrrrrrrrrrrrrrrr" localSheetId="23">#REF!</definedName>
    <definedName name="rrrrrrrrrrrrrrrrrrrrrrrr">#REF!</definedName>
    <definedName name="s" localSheetId="20">#REF!</definedName>
    <definedName name="s" localSheetId="22">#REF!</definedName>
    <definedName name="s" localSheetId="21">#REF!</definedName>
    <definedName name="s" localSheetId="19">#REF!</definedName>
    <definedName name="s" localSheetId="17">#REF!</definedName>
    <definedName name="s" localSheetId="23">#REF!</definedName>
    <definedName name="s">#REF!</definedName>
    <definedName name="ss" localSheetId="20">#REF!</definedName>
    <definedName name="ss" localSheetId="22">#REF!</definedName>
    <definedName name="ss" localSheetId="21">#REF!</definedName>
    <definedName name="ss" localSheetId="19">#REF!</definedName>
    <definedName name="ss" localSheetId="17">#REF!</definedName>
    <definedName name="ss" localSheetId="23">#REF!</definedName>
    <definedName name="ss">#REF!</definedName>
    <definedName name="sss" localSheetId="20">#REF!</definedName>
    <definedName name="sss" localSheetId="22">#REF!</definedName>
    <definedName name="sss" localSheetId="21">#REF!</definedName>
    <definedName name="sss">#REF!</definedName>
    <definedName name="ssss" localSheetId="20">#REF!</definedName>
    <definedName name="ssss" localSheetId="22">#REF!</definedName>
    <definedName name="ssss" localSheetId="21">#REF!</definedName>
    <definedName name="ssss">#REF!</definedName>
    <definedName name="sssss" localSheetId="20">#REF!</definedName>
    <definedName name="sssss" localSheetId="22">#REF!</definedName>
    <definedName name="sssss" localSheetId="21">#REF!</definedName>
    <definedName name="sssss">#REF!</definedName>
    <definedName name="ssssss" localSheetId="20">#REF!</definedName>
    <definedName name="ssssss" localSheetId="22">#REF!</definedName>
    <definedName name="ssssss" localSheetId="21">#REF!</definedName>
    <definedName name="ssssss">#REF!</definedName>
    <definedName name="sssssss" localSheetId="20">#REF!</definedName>
    <definedName name="sssssss" localSheetId="22">#REF!</definedName>
    <definedName name="sssssss" localSheetId="21">#REF!</definedName>
    <definedName name="sssssss">#REF!</definedName>
    <definedName name="ssssssss" localSheetId="20">'[1]Budoucí hodnota - zadání'!#REF!</definedName>
    <definedName name="ssssssss" localSheetId="22">'[1]Budoucí hodnota - zadání'!#REF!</definedName>
    <definedName name="ssssssss" localSheetId="21">'[1]Budoucí hodnota - zadání'!#REF!</definedName>
    <definedName name="ssssssss">'[1]Budoucí hodnota - zadání'!#REF!</definedName>
    <definedName name="sssssssss" localSheetId="20">#REF!</definedName>
    <definedName name="sssssssss" localSheetId="22">#REF!</definedName>
    <definedName name="sssssssss" localSheetId="21">#REF!</definedName>
    <definedName name="sssssssss" localSheetId="19">#REF!</definedName>
    <definedName name="sssssssss" localSheetId="17">#REF!</definedName>
    <definedName name="sssssssss" localSheetId="23">#REF!</definedName>
    <definedName name="sssssssss">#REF!</definedName>
    <definedName name="ssssssssss" localSheetId="20">#REF!</definedName>
    <definedName name="ssssssssss" localSheetId="22">#REF!</definedName>
    <definedName name="ssssssssss" localSheetId="21">#REF!</definedName>
    <definedName name="ssssssssss" localSheetId="19">#REF!</definedName>
    <definedName name="ssssssssss" localSheetId="17">#REF!</definedName>
    <definedName name="ssssssssss" localSheetId="23">#REF!</definedName>
    <definedName name="ssssssssss">#REF!</definedName>
    <definedName name="sssssssssss" localSheetId="20">'[2]Budoucí hodnota - zadání'!#REF!</definedName>
    <definedName name="sssssssssss" localSheetId="22">'[2]Budoucí hodnota - zadání'!#REF!</definedName>
    <definedName name="sssssssssss" localSheetId="21">'[2]Budoucí hodnota - zadání'!#REF!</definedName>
    <definedName name="sssssssssss" localSheetId="19">'[2]Budoucí hodnota - zadání'!#REF!</definedName>
    <definedName name="sssssssssss" localSheetId="17">'[2]Budoucí hodnota - zadání'!#REF!</definedName>
    <definedName name="sssssssssss" localSheetId="23">'[2]Budoucí hodnota - zadání'!#REF!</definedName>
    <definedName name="sssssssssss">'[2]Budoucí hodnota - zadání'!#REF!</definedName>
    <definedName name="ssssssssssss" localSheetId="20">#REF!</definedName>
    <definedName name="ssssssssssss" localSheetId="22">#REF!</definedName>
    <definedName name="ssssssssssss" localSheetId="21">#REF!</definedName>
    <definedName name="ssssssssssss" localSheetId="19">#REF!</definedName>
    <definedName name="ssssssssssss" localSheetId="17">#REF!</definedName>
    <definedName name="ssssssssssss" localSheetId="23">#REF!</definedName>
    <definedName name="ssssssssssss">#REF!</definedName>
    <definedName name="sssssssssssss" localSheetId="20">'[2]Budoucí hodnota - zadání'!#REF!</definedName>
    <definedName name="sssssssssssss" localSheetId="22">'[2]Budoucí hodnota - zadání'!#REF!</definedName>
    <definedName name="sssssssssssss" localSheetId="21">'[2]Budoucí hodnota - zadání'!#REF!</definedName>
    <definedName name="sssssssssssss" localSheetId="19">'[2]Budoucí hodnota - zadání'!#REF!</definedName>
    <definedName name="sssssssssssss" localSheetId="17">'[2]Budoucí hodnota - zadání'!#REF!</definedName>
    <definedName name="sssssssssssss" localSheetId="23">'[2]Budoucí hodnota - zadání'!#REF!</definedName>
    <definedName name="sssssssssssss">'[2]Budoucí hodnota - zadání'!#REF!</definedName>
    <definedName name="ssssssssssssss" localSheetId="20">'[2]Budoucí hodnota - zadání'!#REF!</definedName>
    <definedName name="ssssssssssssss" localSheetId="22">'[2]Budoucí hodnota - zadání'!#REF!</definedName>
    <definedName name="ssssssssssssss" localSheetId="21">'[2]Budoucí hodnota - zadání'!#REF!</definedName>
    <definedName name="ssssssssssssss" localSheetId="19">'[2]Budoucí hodnota - zadání'!#REF!</definedName>
    <definedName name="ssssssssssssss" localSheetId="17">'[2]Budoucí hodnota - zadání'!#REF!</definedName>
    <definedName name="ssssssssssssss" localSheetId="23">'[2]Budoucí hodnota - zadání'!#REF!</definedName>
    <definedName name="ssssssssssssss">'[2]Budoucí hodnota - zadání'!#REF!</definedName>
    <definedName name="sssssssssssssss" localSheetId="20">#REF!</definedName>
    <definedName name="sssssssssssssss" localSheetId="22">#REF!</definedName>
    <definedName name="sssssssssssssss" localSheetId="21">#REF!</definedName>
    <definedName name="sssssssssssssss" localSheetId="19">#REF!</definedName>
    <definedName name="sssssssssssssss" localSheetId="17">#REF!</definedName>
    <definedName name="sssssssssssssss" localSheetId="23">#REF!</definedName>
    <definedName name="sssssssssssssss">#REF!</definedName>
    <definedName name="ssssssssssssssss" localSheetId="20">'[1]Budoucí hodnota - zadání'!#REF!</definedName>
    <definedName name="ssssssssssssssss" localSheetId="22">'[1]Budoucí hodnota - zadání'!#REF!</definedName>
    <definedName name="ssssssssssssssss" localSheetId="21">'[1]Budoucí hodnota - zadání'!#REF!</definedName>
    <definedName name="ssssssssssssssss" localSheetId="19">'[1]Budoucí hodnota - zadání'!#REF!</definedName>
    <definedName name="ssssssssssssssss" localSheetId="17">'[1]Budoucí hodnota - zadání'!#REF!</definedName>
    <definedName name="ssssssssssssssss" localSheetId="23">'[1]Budoucí hodnota - zadání'!#REF!</definedName>
    <definedName name="ssssssssssssssss">'[1]Budoucí hodnota - zadání'!#REF!</definedName>
    <definedName name="sssssssssssssssss" localSheetId="20">#REF!</definedName>
    <definedName name="sssssssssssssssss" localSheetId="22">#REF!</definedName>
    <definedName name="sssssssssssssssss" localSheetId="21">#REF!</definedName>
    <definedName name="sssssssssssssssss" localSheetId="19">#REF!</definedName>
    <definedName name="sssssssssssssssss" localSheetId="17">#REF!</definedName>
    <definedName name="sssssssssssssssss" localSheetId="23">#REF!</definedName>
    <definedName name="sssssssssssssssss">#REF!</definedName>
    <definedName name="ssssssssssssssssss" localSheetId="20">#REF!</definedName>
    <definedName name="ssssssssssssssssss" localSheetId="22">#REF!</definedName>
    <definedName name="ssssssssssssssssss" localSheetId="21">#REF!</definedName>
    <definedName name="ssssssssssssssssss" localSheetId="19">#REF!</definedName>
    <definedName name="ssssssssssssssssss" localSheetId="17">#REF!</definedName>
    <definedName name="ssssssssssssssssss" localSheetId="23">#REF!</definedName>
    <definedName name="ssssssssssssssssss">#REF!</definedName>
    <definedName name="sssssssssssssssssss" localSheetId="20">'[1]Budoucí hodnota - zadání'!#REF!</definedName>
    <definedName name="sssssssssssssssssss" localSheetId="22">'[1]Budoucí hodnota - zadání'!#REF!</definedName>
    <definedName name="sssssssssssssssssss" localSheetId="21">'[1]Budoucí hodnota - zadání'!#REF!</definedName>
    <definedName name="sssssssssssssssssss" localSheetId="19">'[1]Budoucí hodnota - zadání'!#REF!</definedName>
    <definedName name="sssssssssssssssssss" localSheetId="17">'[1]Budoucí hodnota - zadání'!#REF!</definedName>
    <definedName name="sssssssssssssssssss" localSheetId="23">'[1]Budoucí hodnota - zadání'!#REF!</definedName>
    <definedName name="sssssssssssssssssss">'[1]Budoucí hodnota - zadání'!#REF!</definedName>
    <definedName name="ssssssssssssssssssss" localSheetId="20">#REF!</definedName>
    <definedName name="ssssssssssssssssssss" localSheetId="22">#REF!</definedName>
    <definedName name="ssssssssssssssssssss" localSheetId="21">#REF!</definedName>
    <definedName name="ssssssssssssssssssss" localSheetId="19">#REF!</definedName>
    <definedName name="ssssssssssssssssssss" localSheetId="17">#REF!</definedName>
    <definedName name="ssssssssssssssssssss" localSheetId="23">#REF!</definedName>
    <definedName name="ssssssssssssssssssss">#REF!</definedName>
    <definedName name="sssssssssssssssssssss" localSheetId="20">#REF!</definedName>
    <definedName name="sssssssssssssssssssss" localSheetId="22">#REF!</definedName>
    <definedName name="sssssssssssssssssssss" localSheetId="21">#REF!</definedName>
    <definedName name="sssssssssssssssssssss" localSheetId="19">#REF!</definedName>
    <definedName name="sssssssssssssssssssss" localSheetId="17">#REF!</definedName>
    <definedName name="sssssssssssssssssssss" localSheetId="23">#REF!</definedName>
    <definedName name="sssssssssssssssssssss">#REF!</definedName>
    <definedName name="ssssssssssssssssssssss" localSheetId="20">#REF!</definedName>
    <definedName name="ssssssssssssssssssssss" localSheetId="22">#REF!</definedName>
    <definedName name="ssssssssssssssssssssss" localSheetId="21">#REF!</definedName>
    <definedName name="ssssssssssssssssssssss" localSheetId="19">#REF!</definedName>
    <definedName name="ssssssssssssssssssssss" localSheetId="17">#REF!</definedName>
    <definedName name="ssssssssssssssssssssss" localSheetId="23">#REF!</definedName>
    <definedName name="ssssssssssssssssssssss">#REF!</definedName>
    <definedName name="sssssssssssssssssssssss" localSheetId="20">#REF!</definedName>
    <definedName name="sssssssssssssssssssssss" localSheetId="22">#REF!</definedName>
    <definedName name="sssssssssssssssssssssss" localSheetId="21">#REF!</definedName>
    <definedName name="sssssssssssssssssssssss">#REF!</definedName>
    <definedName name="ssssssssssssssssssssssss" localSheetId="20">'[1]Budoucí hodnota - zadání'!#REF!</definedName>
    <definedName name="ssssssssssssssssssssssss" localSheetId="22">'[1]Budoucí hodnota - zadání'!#REF!</definedName>
    <definedName name="ssssssssssssssssssssssss" localSheetId="21">'[1]Budoucí hodnota - zadání'!#REF!</definedName>
    <definedName name="ssssssssssssssssssssssss">'[1]Budoucí hodnota - zadání'!#REF!</definedName>
    <definedName name="ssssssssssssssssssssssssssssss" localSheetId="20">#REF!</definedName>
    <definedName name="ssssssssssssssssssssssssssssss" localSheetId="22">#REF!</definedName>
    <definedName name="ssssssssssssssssssssssssssssss" localSheetId="21">#REF!</definedName>
    <definedName name="ssssssssssssssssssssssssssssss" localSheetId="19">#REF!</definedName>
    <definedName name="ssssssssssssssssssssssssssssss" localSheetId="17">#REF!</definedName>
    <definedName name="ssssssssssssssssssssssssssssss" localSheetId="23">#REF!</definedName>
    <definedName name="ssssssssssssssssssssssssssssss">#REF!</definedName>
    <definedName name="t" localSheetId="20">#REF!</definedName>
    <definedName name="t" localSheetId="22">#REF!</definedName>
    <definedName name="t" localSheetId="21">#REF!</definedName>
    <definedName name="t" localSheetId="19">#REF!</definedName>
    <definedName name="t" localSheetId="17">#REF!</definedName>
    <definedName name="t" localSheetId="23">#REF!</definedName>
    <definedName name="t">#REF!</definedName>
    <definedName name="tab" localSheetId="5">#REF!</definedName>
    <definedName name="tab">#REF!</definedName>
    <definedName name="tab.2" localSheetId="5">#REF!</definedName>
    <definedName name="tab.2">#REF!</definedName>
    <definedName name="TableArea" localSheetId="4">#REF!</definedName>
    <definedName name="TableArea" localSheetId="7">#REF!</definedName>
    <definedName name="TableArea" localSheetId="5">#REF!</definedName>
    <definedName name="TableArea">#REF!</definedName>
    <definedName name="tabulky" localSheetId="7">#REF!</definedName>
    <definedName name="tabulky" localSheetId="5">#REF!</definedName>
    <definedName name="tabulky">#REF!</definedName>
    <definedName name="tdjgcdkcb" localSheetId="20">#REF!</definedName>
    <definedName name="tdjgcdkcb" localSheetId="22">#REF!</definedName>
    <definedName name="tdjgcdkcb" localSheetId="21">#REF!</definedName>
    <definedName name="tdjgcdkcb">#REF!</definedName>
    <definedName name="ttttttttttttttt" localSheetId="20">'[2]Budoucí hodnota - zadání'!#REF!</definedName>
    <definedName name="ttttttttttttttt" localSheetId="22">'[2]Budoucí hodnota - zadání'!#REF!</definedName>
    <definedName name="ttttttttttttttt" localSheetId="21">'[2]Budoucí hodnota - zadání'!#REF!</definedName>
    <definedName name="ttttttttttttttt">'[2]Budoucí hodnota - zadání'!#REF!</definedName>
    <definedName name="ttttttttttttttttttttt" localSheetId="20">#REF!</definedName>
    <definedName name="ttttttttttttttttttttt" localSheetId="22">#REF!</definedName>
    <definedName name="ttttttttttttttttttttt" localSheetId="21">#REF!</definedName>
    <definedName name="ttttttttttttttttttttt" localSheetId="19">#REF!</definedName>
    <definedName name="ttttttttttttttttttttt" localSheetId="17">#REF!</definedName>
    <definedName name="ttttttttttttttttttttt" localSheetId="23">#REF!</definedName>
    <definedName name="ttttttttttttttttttttt">#REF!</definedName>
    <definedName name="u" localSheetId="20">#REF!</definedName>
    <definedName name="u" localSheetId="22">#REF!</definedName>
    <definedName name="u" localSheetId="21">#REF!</definedName>
    <definedName name="u" localSheetId="19">#REF!</definedName>
    <definedName name="u" localSheetId="17">#REF!</definedName>
    <definedName name="u" localSheetId="23">#REF!</definedName>
    <definedName name="u">#REF!</definedName>
    <definedName name="ú" localSheetId="20">'[2]Budoucí hodnota - zadání'!#REF!</definedName>
    <definedName name="ú" localSheetId="22">'[2]Budoucí hodnota - zadání'!#REF!</definedName>
    <definedName name="ú" localSheetId="21">'[2]Budoucí hodnota - zadání'!#REF!</definedName>
    <definedName name="ú" localSheetId="19">'[2]Budoucí hodnota - zadání'!#REF!</definedName>
    <definedName name="ú" localSheetId="17">'[2]Budoucí hodnota - zadání'!#REF!</definedName>
    <definedName name="ú" localSheetId="23">'[2]Budoucí hodnota - zadání'!#REF!</definedName>
    <definedName name="ú">'[2]Budoucí hodnota - zadání'!#REF!</definedName>
    <definedName name="uuuuu" localSheetId="20">#REF!</definedName>
    <definedName name="uuuuu" localSheetId="22">#REF!</definedName>
    <definedName name="uuuuu" localSheetId="21">#REF!</definedName>
    <definedName name="uuuuu" localSheetId="19">#REF!</definedName>
    <definedName name="uuuuu" localSheetId="17">#REF!</definedName>
    <definedName name="uuuuu" localSheetId="23">#REF!</definedName>
    <definedName name="uuuuu">#REF!</definedName>
    <definedName name="VydajeNaZakaz" localSheetId="20">#REF!</definedName>
    <definedName name="VydajeNaZakaz" localSheetId="22">#REF!</definedName>
    <definedName name="VydajeNaZakaz" localSheetId="21">#REF!</definedName>
    <definedName name="VydajeNaZakaz" localSheetId="7">#REF!</definedName>
    <definedName name="VydajeNaZakaz" localSheetId="19">#REF!</definedName>
    <definedName name="VydajeNaZakaz" localSheetId="17">#REF!</definedName>
    <definedName name="VydajeNaZakaz" localSheetId="5">#REF!</definedName>
    <definedName name="VydajeNaZakaz" localSheetId="23">#REF!</definedName>
    <definedName name="VydajeNaZakaz">#REF!</definedName>
    <definedName name="Vyplaty" localSheetId="20">#REF!</definedName>
    <definedName name="Vyplaty" localSheetId="22">#REF!</definedName>
    <definedName name="Vyplaty" localSheetId="21">#REF!</definedName>
    <definedName name="Vyplaty" localSheetId="7">#REF!</definedName>
    <definedName name="Vyplaty" localSheetId="19">#REF!</definedName>
    <definedName name="Vyplaty" localSheetId="17">#REF!</definedName>
    <definedName name="Vyplaty" localSheetId="5">#REF!</definedName>
    <definedName name="Vyplaty" localSheetId="23">#REF!</definedName>
    <definedName name="Vyplaty">#REF!</definedName>
    <definedName name="w" localSheetId="20">#REF!</definedName>
    <definedName name="w" localSheetId="22">#REF!</definedName>
    <definedName name="w" localSheetId="21">#REF!</definedName>
    <definedName name="w">#REF!</definedName>
    <definedName name="wwwwwwwwwwwwwwwwwwwwwwwww" localSheetId="20">'[2]Budoucí hodnota - zadání'!#REF!</definedName>
    <definedName name="wwwwwwwwwwwwwwwwwwwwwwwww" localSheetId="22">'[2]Budoucí hodnota - zadání'!#REF!</definedName>
    <definedName name="wwwwwwwwwwwwwwwwwwwwwwwww" localSheetId="21">'[2]Budoucí hodnota - zadání'!#REF!</definedName>
    <definedName name="wwwwwwwwwwwwwwwwwwwwwwwww">'[2]Budoucí hodnota - zadání'!#REF!</definedName>
    <definedName name="wwwwwwwwwwwwwwwwwwwwwwwwwwwwwwwwwwww" localSheetId="20">#REF!</definedName>
    <definedName name="wwwwwwwwwwwwwwwwwwwwwwwwwwwwwwwwwwww" localSheetId="22">#REF!</definedName>
    <definedName name="wwwwwwwwwwwwwwwwwwwwwwwwwwwwwwwwwwww" localSheetId="21">#REF!</definedName>
    <definedName name="wwwwwwwwwwwwwwwwwwwwwwwwwwwwwwwwwwww" localSheetId="19">#REF!</definedName>
    <definedName name="wwwwwwwwwwwwwwwwwwwwwwwwwwwwwwwwwwww" localSheetId="17">#REF!</definedName>
    <definedName name="wwwwwwwwwwwwwwwwwwwwwwwwwwwwwwwwwwww" localSheetId="23">#REF!</definedName>
    <definedName name="wwwwwwwwwwwwwwwwwwwwwwwwwwwwwwwwwwww">#REF!</definedName>
    <definedName name="x" localSheetId="20">#REF!</definedName>
    <definedName name="x" localSheetId="22">#REF!</definedName>
    <definedName name="x" localSheetId="21">#REF!</definedName>
    <definedName name="x" localSheetId="19">#REF!</definedName>
    <definedName name="x" localSheetId="17">#REF!</definedName>
    <definedName name="x" localSheetId="23">#REF!</definedName>
    <definedName name="x">#REF!</definedName>
    <definedName name="ydgdfhn" localSheetId="20">#REF!</definedName>
    <definedName name="ydgdfhn" localSheetId="22">#REF!</definedName>
    <definedName name="ydgdfhn" localSheetId="21">#REF!</definedName>
    <definedName name="ydgdfhn" localSheetId="19">#REF!</definedName>
    <definedName name="ydgdfhn" localSheetId="17">#REF!</definedName>
    <definedName name="ydgdfhn" localSheetId="23">#REF!</definedName>
    <definedName name="ydgdfhn">#REF!</definedName>
    <definedName name="z" localSheetId="20">#REF!</definedName>
    <definedName name="z" localSheetId="22">#REF!</definedName>
    <definedName name="z" localSheetId="21">#REF!</definedName>
    <definedName name="z">#REF!</definedName>
    <definedName name="Zarizeni" localSheetId="20">#REF!</definedName>
    <definedName name="Zarizeni" localSheetId="22">#REF!</definedName>
    <definedName name="Zarizeni" localSheetId="21">#REF!</definedName>
    <definedName name="Zarizeni" localSheetId="7">#REF!</definedName>
    <definedName name="Zarizeni" localSheetId="5">#REF!</definedName>
    <definedName name="Zarizeni">#REF!</definedName>
    <definedName name="Zásoby" localSheetId="20">#REF!</definedName>
    <definedName name="Zásoby" localSheetId="22">#REF!</definedName>
    <definedName name="Zásoby" localSheetId="21">#REF!</definedName>
    <definedName name="Zásoby" localSheetId="7">#REF!</definedName>
    <definedName name="Zásoby" localSheetId="5">#REF!</definedName>
    <definedName name="Zásoby">#REF!</definedName>
    <definedName name="Zbozi" localSheetId="7">[13]Test1!$B$89:$D$96</definedName>
    <definedName name="Zbozi" localSheetId="5">[13]Test1!$B$89:$D$96</definedName>
    <definedName name="Zbozi">[5]Test1!$B$89:$D$96</definedName>
    <definedName name="ZboziN">[6]Test1!$B$89:$D$96</definedName>
    <definedName name="zugskrheiogwe" localSheetId="7">#REF!</definedName>
    <definedName name="zugskrheiogwe" localSheetId="6">#REF!</definedName>
    <definedName name="zugskrheiogwe" localSheetId="5">#REF!</definedName>
    <definedName name="zugskrheiogwe">#REF!</definedName>
    <definedName name="zzzzzzzzzzzzzzzzzzz" localSheetId="20">#REF!</definedName>
    <definedName name="zzzzzzzzzzzzzzzzzzz" localSheetId="22">#REF!</definedName>
    <definedName name="zzzzzzzzzzzzzzzzzzz" localSheetId="21">#REF!</definedName>
    <definedName name="zzzzzzzzzzzzzzzzzzz" localSheetId="19">#REF!</definedName>
    <definedName name="zzzzzzzzzzzzzzzzzzz" localSheetId="17">#REF!</definedName>
    <definedName name="zzzzzzzzzzzzzzzzzzz" localSheetId="23">#REF!</definedName>
    <definedName name="zzzzzzzzzzzzzzzzzzz">#REF!</definedName>
  </definedNames>
  <calcPr calcId="145621"/>
</workbook>
</file>

<file path=xl/calcChain.xml><?xml version="1.0" encoding="utf-8"?>
<calcChain xmlns="http://schemas.openxmlformats.org/spreadsheetml/2006/main">
  <c r="N62" i="287" l="1"/>
  <c r="L62" i="287"/>
  <c r="K62" i="287"/>
  <c r="J62" i="287"/>
  <c r="O52" i="287"/>
  <c r="N52" i="287"/>
  <c r="L52" i="287"/>
  <c r="K52" i="287"/>
  <c r="J52" i="287"/>
  <c r="G52" i="287"/>
  <c r="G22" i="286"/>
  <c r="F22" i="286"/>
  <c r="H21" i="286"/>
  <c r="H20" i="286"/>
  <c r="H19" i="286"/>
  <c r="H18" i="286"/>
  <c r="H17" i="286"/>
  <c r="H16" i="286"/>
  <c r="H15" i="286"/>
  <c r="H14" i="286"/>
  <c r="H13" i="286"/>
  <c r="H12" i="286"/>
  <c r="H11" i="286"/>
  <c r="H10" i="286"/>
  <c r="H9" i="286"/>
  <c r="H8" i="286"/>
  <c r="H7" i="286"/>
  <c r="H6" i="286"/>
  <c r="H5" i="286"/>
  <c r="H4" i="286"/>
  <c r="H3" i="286"/>
  <c r="H22" i="286" s="1"/>
  <c r="P16" i="284"/>
  <c r="P15" i="284"/>
  <c r="P14" i="284"/>
  <c r="C39" i="282"/>
  <c r="B39" i="282"/>
  <c r="D38" i="282"/>
  <c r="D37" i="282"/>
  <c r="D36" i="282"/>
  <c r="D35" i="282"/>
  <c r="D34" i="282"/>
  <c r="D33" i="282"/>
  <c r="D32" i="282"/>
  <c r="D31" i="282"/>
  <c r="D30" i="282"/>
  <c r="D29" i="282"/>
  <c r="D28" i="282"/>
  <c r="D27" i="282"/>
  <c r="D26" i="282"/>
  <c r="D25" i="282"/>
  <c r="D24" i="282"/>
  <c r="D23" i="282"/>
  <c r="D22" i="282"/>
  <c r="D21" i="282"/>
  <c r="D20" i="282"/>
  <c r="D19" i="282"/>
  <c r="D18" i="282"/>
  <c r="D17" i="282"/>
  <c r="D16" i="282"/>
  <c r="D15" i="282"/>
  <c r="D14" i="282"/>
  <c r="D13" i="282"/>
  <c r="D12" i="282"/>
  <c r="D11" i="282"/>
  <c r="D10" i="282"/>
  <c r="D9" i="282"/>
  <c r="D8" i="282"/>
  <c r="D7" i="282"/>
  <c r="D6" i="282"/>
  <c r="D5" i="282"/>
  <c r="D39" i="282" s="1"/>
  <c r="D4" i="282"/>
  <c r="D3" i="282"/>
  <c r="C37" i="278"/>
  <c r="C19" i="278"/>
  <c r="J1139" i="277" l="1"/>
  <c r="J1135" i="277"/>
  <c r="J1132" i="277"/>
  <c r="J1123" i="277"/>
  <c r="J1119" i="277"/>
  <c r="J1115" i="277"/>
  <c r="J1111" i="277"/>
  <c r="J1108" i="277"/>
  <c r="J1104" i="277"/>
  <c r="J1100" i="277"/>
  <c r="J1090" i="277"/>
  <c r="J1085" i="277"/>
  <c r="J1083" i="277"/>
  <c r="J1080" i="277"/>
  <c r="J1077" i="277"/>
  <c r="J1074" i="277"/>
  <c r="J1072" i="277"/>
  <c r="J1069" i="277"/>
  <c r="J1067" i="277"/>
  <c r="J1064" i="277"/>
  <c r="J1062" i="277"/>
  <c r="J1060" i="277"/>
  <c r="J1057" i="277"/>
  <c r="J1054" i="277"/>
  <c r="J1051" i="277"/>
  <c r="J1049" i="277"/>
  <c r="J1046" i="277"/>
  <c r="J1043" i="277"/>
  <c r="J1040" i="277"/>
  <c r="J1037" i="277"/>
  <c r="J1034" i="277"/>
  <c r="J1032" i="277"/>
  <c r="J1029" i="277"/>
  <c r="J1026" i="277"/>
  <c r="J1023" i="277"/>
  <c r="J1020" i="277"/>
  <c r="J1017" i="277"/>
  <c r="J1015" i="277"/>
  <c r="J1012" i="277"/>
  <c r="J1009" i="277"/>
  <c r="J1002" i="277"/>
  <c r="J999" i="277"/>
  <c r="J996" i="277"/>
  <c r="J994" i="277"/>
  <c r="J991" i="277"/>
  <c r="J988" i="277"/>
  <c r="J985" i="277"/>
  <c r="J982" i="277"/>
  <c r="J978" i="277"/>
  <c r="J958" i="277"/>
  <c r="J943" i="277"/>
  <c r="J939" i="277"/>
  <c r="J936" i="277"/>
  <c r="J933" i="277"/>
  <c r="J931" i="277"/>
  <c r="J928" i="277"/>
  <c r="J925" i="277"/>
  <c r="J922" i="277"/>
  <c r="J920" i="277"/>
  <c r="J918" i="277"/>
  <c r="J916" i="277"/>
  <c r="J913" i="277"/>
  <c r="J911" i="277"/>
  <c r="J907" i="277"/>
  <c r="J904" i="277"/>
  <c r="J901" i="277"/>
  <c r="J899" i="277"/>
  <c r="J896" i="277"/>
  <c r="J893" i="277"/>
  <c r="J890" i="277"/>
  <c r="J887" i="277"/>
  <c r="J881" i="277"/>
  <c r="J878" i="277"/>
  <c r="J875" i="277"/>
  <c r="J870" i="277"/>
  <c r="J867" i="277"/>
  <c r="J864" i="277"/>
  <c r="J859" i="277"/>
  <c r="J856" i="277"/>
  <c r="J849" i="277"/>
  <c r="J809" i="277"/>
  <c r="J797" i="277"/>
  <c r="J810" i="277" s="1"/>
  <c r="J795" i="277"/>
  <c r="J762" i="277"/>
  <c r="J761" i="277"/>
  <c r="J755" i="277"/>
  <c r="J754" i="277"/>
  <c r="J747" i="277"/>
  <c r="J740" i="277"/>
  <c r="J733" i="277"/>
  <c r="J727" i="277"/>
  <c r="J702" i="277"/>
  <c r="J688" i="277"/>
  <c r="J531" i="277"/>
  <c r="J486" i="277"/>
  <c r="J415" i="277"/>
  <c r="J414" i="277"/>
  <c r="J406" i="277"/>
  <c r="J404" i="277"/>
  <c r="J407" i="277" s="1"/>
  <c r="J401" i="277"/>
  <c r="J395" i="277"/>
  <c r="J388" i="277"/>
  <c r="J374" i="277"/>
  <c r="J366" i="277"/>
  <c r="J269" i="277"/>
  <c r="J279" i="277" s="1"/>
  <c r="J226" i="277"/>
  <c r="J231" i="277" s="1"/>
  <c r="J207" i="277"/>
  <c r="J30" i="277"/>
  <c r="J24" i="277"/>
  <c r="J18" i="277"/>
  <c r="J12" i="277"/>
  <c r="J79" i="276"/>
  <c r="I78" i="276"/>
  <c r="J78" i="276" s="1"/>
  <c r="H78" i="276"/>
  <c r="G78" i="276"/>
  <c r="J77" i="276"/>
  <c r="J76" i="276"/>
  <c r="J75" i="276"/>
  <c r="J74" i="276"/>
  <c r="J73" i="276"/>
  <c r="I72" i="276"/>
  <c r="J72" i="276" s="1"/>
  <c r="H72" i="276"/>
  <c r="G72" i="276"/>
  <c r="I71" i="276"/>
  <c r="J71" i="276" s="1"/>
  <c r="H71" i="276"/>
  <c r="G71" i="276"/>
  <c r="J70" i="276"/>
  <c r="J69" i="276"/>
  <c r="J68" i="276"/>
  <c r="J67" i="276"/>
  <c r="J66" i="276"/>
  <c r="J65" i="276"/>
  <c r="J64" i="276"/>
  <c r="J63" i="276"/>
  <c r="I62" i="276"/>
  <c r="J62" i="276" s="1"/>
  <c r="I61" i="276"/>
  <c r="J61" i="276" s="1"/>
  <c r="I60" i="276"/>
  <c r="J60" i="276" s="1"/>
  <c r="J59" i="276"/>
  <c r="J58" i="276"/>
  <c r="J57" i="276"/>
  <c r="J56" i="276"/>
  <c r="I56" i="276"/>
  <c r="J55" i="276"/>
  <c r="J54" i="276"/>
  <c r="I53" i="276"/>
  <c r="J53" i="276" s="1"/>
  <c r="H53" i="276"/>
  <c r="G53" i="276"/>
  <c r="J52" i="276"/>
  <c r="I51" i="276"/>
  <c r="J51" i="276" s="1"/>
  <c r="I50" i="276"/>
  <c r="J50" i="276" s="1"/>
  <c r="H50" i="276"/>
  <c r="G50" i="276"/>
  <c r="J49" i="276"/>
  <c r="J48" i="276"/>
  <c r="I48" i="276"/>
  <c r="J47" i="276"/>
  <c r="I47" i="276"/>
  <c r="J46" i="276"/>
  <c r="I46" i="276"/>
  <c r="J45" i="276"/>
  <c r="I44" i="276"/>
  <c r="J44" i="276" s="1"/>
  <c r="H44" i="276"/>
  <c r="G44" i="276"/>
  <c r="J43" i="276"/>
  <c r="J42" i="276"/>
  <c r="J41" i="276"/>
  <c r="J40" i="276"/>
  <c r="J39" i="276"/>
  <c r="I39" i="276"/>
  <c r="I38" i="276"/>
  <c r="J38" i="276" s="1"/>
  <c r="H38" i="276"/>
  <c r="G38" i="276"/>
  <c r="J37" i="276"/>
  <c r="J36" i="276"/>
  <c r="J35" i="276"/>
  <c r="I34" i="276"/>
  <c r="J34" i="276" s="1"/>
  <c r="J33" i="276"/>
  <c r="I33" i="276"/>
  <c r="J32" i="276"/>
  <c r="J31" i="276"/>
  <c r="J30" i="276"/>
  <c r="J29" i="276"/>
  <c r="I28" i="276"/>
  <c r="J28" i="276" s="1"/>
  <c r="H28" i="276"/>
  <c r="G28" i="276"/>
  <c r="J27" i="276"/>
  <c r="J26" i="276"/>
  <c r="I26" i="276"/>
  <c r="J25" i="276"/>
  <c r="I25" i="276"/>
  <c r="J24" i="276"/>
  <c r="I24" i="276"/>
  <c r="I23" i="276"/>
  <c r="H23" i="276"/>
  <c r="J23" i="276" s="1"/>
  <c r="G23" i="276"/>
  <c r="J22" i="276"/>
  <c r="I21" i="276"/>
  <c r="J21" i="276" s="1"/>
  <c r="I20" i="276"/>
  <c r="J20" i="276" s="1"/>
  <c r="H20" i="276"/>
  <c r="G20" i="276"/>
  <c r="I19" i="276"/>
  <c r="J19" i="276" s="1"/>
  <c r="H19" i="276"/>
  <c r="G19" i="276"/>
  <c r="I18" i="276"/>
  <c r="J18" i="276" s="1"/>
  <c r="J17" i="276"/>
  <c r="J16" i="276"/>
  <c r="J15" i="276"/>
  <c r="I14" i="276"/>
  <c r="J14" i="276" s="1"/>
  <c r="H14" i="276"/>
  <c r="G14" i="276"/>
  <c r="J13" i="276"/>
  <c r="I12" i="276"/>
  <c r="J12" i="276" s="1"/>
  <c r="H12" i="276"/>
  <c r="G12" i="276"/>
  <c r="I11" i="276"/>
  <c r="J11" i="276" s="1"/>
  <c r="H11" i="276"/>
  <c r="G11" i="276"/>
  <c r="J31" i="275"/>
  <c r="H31" i="275"/>
  <c r="J30" i="275"/>
  <c r="H30" i="275"/>
  <c r="J28" i="275"/>
  <c r="I28" i="275"/>
  <c r="H28" i="275"/>
  <c r="G28" i="275"/>
  <c r="J27" i="275"/>
  <c r="H27" i="275"/>
  <c r="J26" i="275"/>
  <c r="H26" i="275"/>
  <c r="I25" i="275"/>
  <c r="H25" i="275"/>
  <c r="J25" i="275" s="1"/>
  <c r="G25" i="275"/>
  <c r="J24" i="275"/>
  <c r="H24" i="275"/>
  <c r="J23" i="275"/>
  <c r="H23" i="275"/>
  <c r="J22" i="275"/>
  <c r="H21" i="275"/>
  <c r="J21" i="275" s="1"/>
  <c r="H20" i="275"/>
  <c r="I19" i="275"/>
  <c r="H19" i="275"/>
  <c r="J19" i="275" s="1"/>
  <c r="G19" i="275"/>
  <c r="I17" i="275"/>
  <c r="H17" i="275"/>
  <c r="G17" i="275"/>
  <c r="H15" i="275"/>
  <c r="J15" i="275" s="1"/>
  <c r="I13" i="275"/>
  <c r="G13" i="275"/>
  <c r="I12" i="275"/>
  <c r="G12" i="275"/>
  <c r="I11" i="275"/>
  <c r="G11" i="275"/>
  <c r="J91" i="274"/>
  <c r="I90" i="274"/>
  <c r="J90" i="274" s="1"/>
  <c r="H90" i="274"/>
  <c r="G90" i="274"/>
  <c r="G83" i="274" s="1"/>
  <c r="J89" i="274"/>
  <c r="J88" i="274"/>
  <c r="J87" i="274"/>
  <c r="J86" i="274"/>
  <c r="J85" i="274"/>
  <c r="I84" i="274"/>
  <c r="H84" i="274"/>
  <c r="J84" i="274" s="1"/>
  <c r="G84" i="274"/>
  <c r="H83" i="274"/>
  <c r="J82" i="274"/>
  <c r="J81" i="274"/>
  <c r="J80" i="274"/>
  <c r="J79" i="274"/>
  <c r="J78" i="274"/>
  <c r="J77" i="274"/>
  <c r="J76" i="274"/>
  <c r="I75" i="274"/>
  <c r="J75" i="274" s="1"/>
  <c r="I74" i="274"/>
  <c r="J74" i="274" s="1"/>
  <c r="I73" i="274"/>
  <c r="J73" i="274" s="1"/>
  <c r="I72" i="274"/>
  <c r="J72" i="274" s="1"/>
  <c r="J71" i="274"/>
  <c r="J70" i="274"/>
  <c r="I69" i="274"/>
  <c r="J69" i="274" s="1"/>
  <c r="I68" i="274"/>
  <c r="J68" i="274" s="1"/>
  <c r="J67" i="274"/>
  <c r="J66" i="274"/>
  <c r="I65" i="274"/>
  <c r="J65" i="274" s="1"/>
  <c r="H65" i="274"/>
  <c r="G65" i="274"/>
  <c r="J64" i="274"/>
  <c r="J63" i="274"/>
  <c r="I63" i="274"/>
  <c r="I62" i="274"/>
  <c r="H62" i="274"/>
  <c r="J62" i="274" s="1"/>
  <c r="G62" i="274"/>
  <c r="J61" i="274"/>
  <c r="I61" i="274"/>
  <c r="J60" i="274"/>
  <c r="J59" i="274"/>
  <c r="J58" i="274"/>
  <c r="I58" i="274"/>
  <c r="J57" i="274"/>
  <c r="I56" i="274"/>
  <c r="J56" i="274" s="1"/>
  <c r="H56" i="274"/>
  <c r="G56" i="274"/>
  <c r="J55" i="274"/>
  <c r="J54" i="274"/>
  <c r="I53" i="274"/>
  <c r="J53" i="274" s="1"/>
  <c r="I52" i="274"/>
  <c r="J52" i="274" s="1"/>
  <c r="I51" i="274"/>
  <c r="J51" i="274" s="1"/>
  <c r="I50" i="274"/>
  <c r="J50" i="274" s="1"/>
  <c r="H50" i="274"/>
  <c r="G50" i="274"/>
  <c r="J49" i="274"/>
  <c r="J48" i="274"/>
  <c r="J47" i="274"/>
  <c r="J46" i="274"/>
  <c r="I46" i="274"/>
  <c r="J45" i="274"/>
  <c r="I45" i="274"/>
  <c r="J44" i="274"/>
  <c r="J43" i="274"/>
  <c r="J42" i="274"/>
  <c r="J41" i="274"/>
  <c r="I40" i="274"/>
  <c r="H40" i="274"/>
  <c r="J40" i="274" s="1"/>
  <c r="G40" i="274"/>
  <c r="J39" i="274"/>
  <c r="I38" i="274"/>
  <c r="J38" i="274" s="1"/>
  <c r="I37" i="274"/>
  <c r="J37" i="274" s="1"/>
  <c r="I36" i="274"/>
  <c r="J36" i="274" s="1"/>
  <c r="I35" i="274"/>
  <c r="J35" i="274" s="1"/>
  <c r="H35" i="274"/>
  <c r="G35" i="274"/>
  <c r="J34" i="274"/>
  <c r="J33" i="274"/>
  <c r="I32" i="274"/>
  <c r="J32" i="274" s="1"/>
  <c r="I31" i="274"/>
  <c r="I30" i="274" s="1"/>
  <c r="H31" i="274"/>
  <c r="G31" i="274"/>
  <c r="G30" i="274"/>
  <c r="J29" i="274"/>
  <c r="J28" i="274"/>
  <c r="I28" i="274"/>
  <c r="G28" i="274"/>
  <c r="J27" i="274"/>
  <c r="G27" i="274"/>
  <c r="I26" i="274"/>
  <c r="J26" i="274" s="1"/>
  <c r="G26" i="274"/>
  <c r="J25" i="274"/>
  <c r="I25" i="274"/>
  <c r="G25" i="274"/>
  <c r="J24" i="274"/>
  <c r="G24" i="274"/>
  <c r="G21" i="274" s="1"/>
  <c r="G18" i="274" s="1"/>
  <c r="G11" i="274" s="1"/>
  <c r="I23" i="274"/>
  <c r="J23" i="274" s="1"/>
  <c r="G23" i="274"/>
  <c r="J22" i="274"/>
  <c r="G22" i="274"/>
  <c r="H21" i="274"/>
  <c r="H18" i="274" s="1"/>
  <c r="J20" i="274"/>
  <c r="G20" i="274"/>
  <c r="J19" i="274"/>
  <c r="I19" i="274"/>
  <c r="G19" i="274"/>
  <c r="J17" i="274"/>
  <c r="J16" i="274"/>
  <c r="J15" i="274"/>
  <c r="I14" i="274"/>
  <c r="H14" i="274"/>
  <c r="J14" i="274" s="1"/>
  <c r="G14" i="274"/>
  <c r="J13" i="274"/>
  <c r="I12" i="274"/>
  <c r="G12" i="274"/>
  <c r="I42" i="273"/>
  <c r="F42" i="273"/>
  <c r="D42" i="273"/>
  <c r="I41" i="273"/>
  <c r="F41" i="273"/>
  <c r="D41" i="273"/>
  <c r="G39" i="273"/>
  <c r="F39" i="273"/>
  <c r="E39" i="273"/>
  <c r="D39" i="273"/>
  <c r="C39" i="273"/>
  <c r="H38" i="273"/>
  <c r="H39" i="273" s="1"/>
  <c r="H37" i="273"/>
  <c r="J37" i="273" s="1"/>
  <c r="H36" i="273"/>
  <c r="J36" i="273" s="1"/>
  <c r="I33" i="273"/>
  <c r="I34" i="273" s="1"/>
  <c r="I32" i="273"/>
  <c r="G32" i="273"/>
  <c r="G42" i="273" s="1"/>
  <c r="F32" i="273"/>
  <c r="E32" i="273"/>
  <c r="E42" i="273" s="1"/>
  <c r="D32" i="273"/>
  <c r="C32" i="273"/>
  <c r="C42" i="273" s="1"/>
  <c r="I31" i="273"/>
  <c r="G31" i="273"/>
  <c r="G41" i="273" s="1"/>
  <c r="F31" i="273"/>
  <c r="E31" i="273"/>
  <c r="E41" i="273" s="1"/>
  <c r="D31" i="273"/>
  <c r="C31" i="273"/>
  <c r="C41" i="273" s="1"/>
  <c r="E29" i="273"/>
  <c r="D29" i="273"/>
  <c r="H28" i="273"/>
  <c r="H29" i="273" s="1"/>
  <c r="H27" i="273"/>
  <c r="J27" i="273" s="1"/>
  <c r="H26" i="273"/>
  <c r="J26" i="273" s="1"/>
  <c r="F24" i="273"/>
  <c r="E24" i="273"/>
  <c r="D24" i="273"/>
  <c r="C24" i="273"/>
  <c r="H23" i="273"/>
  <c r="H24" i="273" s="1"/>
  <c r="C23" i="273"/>
  <c r="J23" i="273" s="1"/>
  <c r="J24" i="273" s="1"/>
  <c r="J22" i="273"/>
  <c r="H22" i="273"/>
  <c r="J21" i="273"/>
  <c r="H21" i="273"/>
  <c r="F19" i="273"/>
  <c r="E19" i="273"/>
  <c r="D19" i="273"/>
  <c r="C18" i="273"/>
  <c r="J18" i="273" s="1"/>
  <c r="H17" i="273"/>
  <c r="J17" i="273" s="1"/>
  <c r="H16" i="273"/>
  <c r="J16" i="273" s="1"/>
  <c r="D14" i="273"/>
  <c r="C14" i="273"/>
  <c r="H13" i="273"/>
  <c r="H14" i="273" s="1"/>
  <c r="C13" i="273"/>
  <c r="J12" i="273"/>
  <c r="H12" i="273"/>
  <c r="J11" i="273"/>
  <c r="H11" i="273"/>
  <c r="I9" i="273"/>
  <c r="F9" i="273"/>
  <c r="D9" i="273"/>
  <c r="G8" i="273"/>
  <c r="G9" i="273" s="1"/>
  <c r="F8" i="273"/>
  <c r="F33" i="273" s="1"/>
  <c r="E8" i="273"/>
  <c r="E9" i="273" s="1"/>
  <c r="D8" i="273"/>
  <c r="D33" i="273" s="1"/>
  <c r="C8" i="273"/>
  <c r="C9" i="273" s="1"/>
  <c r="H7" i="273"/>
  <c r="J7" i="273" s="1"/>
  <c r="H6" i="273"/>
  <c r="J6" i="273" s="1"/>
  <c r="F3" i="273"/>
  <c r="C3" i="273"/>
  <c r="N19" i="271"/>
  <c r="L19" i="271"/>
  <c r="J358" i="277" l="1"/>
  <c r="J11" i="275"/>
  <c r="J13" i="275"/>
  <c r="H13" i="275"/>
  <c r="H12" i="275" s="1"/>
  <c r="H11" i="275" s="1"/>
  <c r="H12" i="274"/>
  <c r="H11" i="274" s="1"/>
  <c r="I21" i="274"/>
  <c r="H30" i="274"/>
  <c r="J30" i="274" s="1"/>
  <c r="J31" i="274"/>
  <c r="I83" i="274"/>
  <c r="J83" i="274" s="1"/>
  <c r="D43" i="273"/>
  <c r="D44" i="273" s="1"/>
  <c r="D34" i="273"/>
  <c r="F43" i="273"/>
  <c r="F44" i="273" s="1"/>
  <c r="F34" i="273"/>
  <c r="J19" i="273"/>
  <c r="C33" i="273"/>
  <c r="E33" i="273"/>
  <c r="G33" i="273"/>
  <c r="H8" i="273"/>
  <c r="J13" i="273"/>
  <c r="J14" i="273" s="1"/>
  <c r="H18" i="273"/>
  <c r="H19" i="273" s="1"/>
  <c r="C19" i="273"/>
  <c r="J28" i="273"/>
  <c r="J29" i="273" s="1"/>
  <c r="H31" i="273"/>
  <c r="H32" i="273"/>
  <c r="J38" i="273"/>
  <c r="J39" i="273" s="1"/>
  <c r="I43" i="273"/>
  <c r="I44" i="273" s="1"/>
  <c r="J12" i="275" l="1"/>
  <c r="I18" i="274"/>
  <c r="J21" i="274"/>
  <c r="J12" i="274"/>
  <c r="H42" i="273"/>
  <c r="J32" i="273"/>
  <c r="J42" i="273" s="1"/>
  <c r="H9" i="273"/>
  <c r="J8" i="273"/>
  <c r="J9" i="273" s="1"/>
  <c r="H41" i="273"/>
  <c r="J31" i="273"/>
  <c r="J41" i="273" s="1"/>
  <c r="G34" i="273"/>
  <c r="G43" i="273"/>
  <c r="G44" i="273" s="1"/>
  <c r="C43" i="273"/>
  <c r="C44" i="273" s="1"/>
  <c r="H33" i="273"/>
  <c r="C34" i="273"/>
  <c r="E34" i="273"/>
  <c r="E43" i="273"/>
  <c r="E44" i="273" s="1"/>
  <c r="J18" i="274" l="1"/>
  <c r="I11" i="274"/>
  <c r="J11" i="274" s="1"/>
  <c r="H43" i="273"/>
  <c r="H44" i="273" s="1"/>
  <c r="H34" i="273"/>
  <c r="J33" i="273"/>
  <c r="J43" i="273" l="1"/>
  <c r="J44" i="273" s="1"/>
  <c r="J34" i="273"/>
  <c r="M18" i="159" l="1"/>
  <c r="O6" i="5"/>
  <c r="N18" i="5" l="1"/>
  <c r="C37" i="158" l="1"/>
  <c r="C44" i="158" s="1"/>
  <c r="D37" i="158"/>
  <c r="C38" i="158"/>
  <c r="D38" i="158"/>
  <c r="C39" i="158"/>
  <c r="D39" i="158"/>
  <c r="C40" i="158"/>
  <c r="D40" i="158"/>
  <c r="C41" i="158"/>
  <c r="D41" i="158"/>
  <c r="C42" i="158"/>
  <c r="D42" i="158"/>
  <c r="C43" i="158"/>
  <c r="D43" i="158"/>
  <c r="D44" i="158"/>
  <c r="C68" i="158" l="1"/>
  <c r="D68" i="158"/>
  <c r="C63" i="158"/>
  <c r="D63" i="158"/>
  <c r="C59" i="158"/>
  <c r="D59" i="158"/>
  <c r="C20" i="158" l="1"/>
  <c r="D20" i="158"/>
  <c r="E68" i="158" l="1"/>
  <c r="E67" i="158"/>
  <c r="E66" i="158"/>
  <c r="E65" i="158"/>
  <c r="E63" i="158"/>
  <c r="E62" i="158"/>
  <c r="E61" i="158"/>
  <c r="E59" i="158"/>
  <c r="E58" i="158"/>
  <c r="E57" i="158"/>
  <c r="E56" i="158"/>
  <c r="E55" i="158"/>
  <c r="E54" i="158"/>
  <c r="E53" i="158"/>
  <c r="E52" i="158"/>
  <c r="E51" i="158"/>
  <c r="E50" i="158"/>
  <c r="E49" i="158"/>
  <c r="E48" i="158"/>
  <c r="E47" i="158"/>
  <c r="E46" i="158"/>
  <c r="E44" i="158"/>
  <c r="E43" i="158"/>
  <c r="E42" i="158"/>
  <c r="E41" i="158"/>
  <c r="E40" i="158"/>
  <c r="E39" i="158"/>
  <c r="E38" i="158"/>
  <c r="E37" i="158"/>
  <c r="E35" i="158"/>
  <c r="E34" i="158"/>
  <c r="E33" i="158"/>
  <c r="E32" i="158"/>
  <c r="E31" i="158"/>
  <c r="E30" i="158"/>
  <c r="E28" i="158"/>
  <c r="E27" i="158"/>
  <c r="E26" i="158"/>
  <c r="E25" i="158"/>
  <c r="E24" i="158"/>
  <c r="E23" i="158"/>
  <c r="E22" i="158"/>
  <c r="E20" i="158"/>
  <c r="E19" i="158"/>
  <c r="E18" i="158"/>
  <c r="E17" i="158"/>
  <c r="E16" i="158"/>
  <c r="E15" i="158"/>
  <c r="E14" i="158"/>
  <c r="N18" i="159"/>
  <c r="N17" i="159"/>
  <c r="N16" i="159"/>
  <c r="N15" i="159"/>
  <c r="N14" i="159"/>
  <c r="N13" i="159"/>
  <c r="N12" i="159"/>
  <c r="N11" i="159"/>
  <c r="M9" i="159"/>
  <c r="O20" i="5"/>
  <c r="O19" i="5"/>
  <c r="O18" i="5"/>
  <c r="O17" i="5"/>
  <c r="O16" i="5"/>
  <c r="O15" i="5"/>
  <c r="O14" i="5"/>
  <c r="O13" i="5"/>
  <c r="O12" i="5"/>
  <c r="O11" i="5"/>
  <c r="O10" i="5"/>
  <c r="O9" i="5"/>
  <c r="N6" i="5"/>
  <c r="N7" i="5"/>
  <c r="O7" i="5" s="1"/>
  <c r="N8" i="5"/>
  <c r="O8" i="5" s="1"/>
  <c r="N9" i="159" l="1"/>
  <c r="M18" i="5"/>
  <c r="L9" i="159" l="1"/>
  <c r="M6" i="5"/>
  <c r="M7" i="5"/>
  <c r="M8" i="5"/>
  <c r="L18" i="5" l="1"/>
  <c r="K9" i="159" l="1"/>
  <c r="L6" i="5"/>
  <c r="L7" i="5"/>
  <c r="L8" i="5"/>
  <c r="K17" i="5"/>
  <c r="K18" i="5"/>
  <c r="J14" i="159"/>
  <c r="J18" i="159"/>
  <c r="K8" i="5"/>
  <c r="K7" i="5"/>
  <c r="K6" i="5"/>
  <c r="J9" i="159"/>
  <c r="J18" i="5"/>
  <c r="B20" i="158"/>
  <c r="F19" i="158"/>
  <c r="I9" i="159"/>
  <c r="J6" i="5"/>
  <c r="J7" i="5"/>
  <c r="J8" i="5"/>
  <c r="F18" i="158"/>
  <c r="I17" i="5"/>
  <c r="H18" i="159"/>
  <c r="H14" i="159"/>
  <c r="H59" i="158"/>
  <c r="H9" i="159"/>
  <c r="I6" i="5"/>
  <c r="I7" i="5"/>
  <c r="I8" i="5"/>
  <c r="H18" i="5"/>
  <c r="H17" i="5"/>
  <c r="H37" i="158"/>
  <c r="F38" i="158"/>
  <c r="H39" i="158"/>
  <c r="H40" i="158"/>
  <c r="H41" i="158"/>
  <c r="H42" i="158"/>
  <c r="H43" i="158"/>
  <c r="G9" i="159"/>
  <c r="H6" i="5"/>
  <c r="H7" i="5"/>
  <c r="H8" i="5"/>
  <c r="F9" i="159"/>
  <c r="G6" i="5"/>
  <c r="G7" i="5"/>
  <c r="G8" i="5"/>
  <c r="F6" i="5"/>
  <c r="F7" i="5"/>
  <c r="F8" i="5"/>
  <c r="H14" i="158"/>
  <c r="G14" i="158"/>
  <c r="F14" i="158"/>
  <c r="F67" i="158"/>
  <c r="F66" i="158"/>
  <c r="F65" i="158"/>
  <c r="F62" i="158"/>
  <c r="F61" i="158"/>
  <c r="F58" i="158"/>
  <c r="F57" i="158"/>
  <c r="F56" i="158"/>
  <c r="F55" i="158"/>
  <c r="F54" i="158"/>
  <c r="F53" i="158"/>
  <c r="F52" i="158"/>
  <c r="F51" i="158"/>
  <c r="F50" i="158"/>
  <c r="F49" i="158"/>
  <c r="F48" i="158"/>
  <c r="F47" i="158"/>
  <c r="F46" i="158"/>
  <c r="F35" i="158"/>
  <c r="F34" i="158"/>
  <c r="F33" i="158"/>
  <c r="F32" i="158"/>
  <c r="F31" i="158"/>
  <c r="F30" i="158"/>
  <c r="F28" i="158"/>
  <c r="F27" i="158"/>
  <c r="F26" i="158"/>
  <c r="F25" i="158"/>
  <c r="F24" i="158"/>
  <c r="F23" i="158"/>
  <c r="F22" i="158"/>
  <c r="F15" i="158"/>
  <c r="F16" i="158"/>
  <c r="F17" i="158"/>
  <c r="E9" i="159"/>
  <c r="E8" i="5"/>
  <c r="E17" i="5"/>
  <c r="E18" i="5"/>
  <c r="D8" i="5"/>
  <c r="E12" i="5"/>
  <c r="E6" i="5"/>
  <c r="E7" i="5"/>
  <c r="D9" i="159"/>
  <c r="B63" i="158"/>
  <c r="C18" i="159"/>
  <c r="B40" i="158"/>
  <c r="B38" i="158"/>
  <c r="G38" i="158" s="1"/>
  <c r="C14" i="159"/>
  <c r="B14" i="159"/>
  <c r="C9" i="159"/>
  <c r="C7" i="5"/>
  <c r="C8" i="5"/>
  <c r="C6" i="5"/>
  <c r="D7" i="5"/>
  <c r="D6" i="5"/>
  <c r="G15" i="158"/>
  <c r="H15" i="158"/>
  <c r="G16" i="158"/>
  <c r="H16" i="158"/>
  <c r="G17" i="158"/>
  <c r="H17" i="158"/>
  <c r="H67" i="158"/>
  <c r="H66" i="158"/>
  <c r="H65" i="158"/>
  <c r="G65" i="158"/>
  <c r="H62" i="158"/>
  <c r="G62" i="158"/>
  <c r="H61" i="158"/>
  <c r="G61" i="158"/>
  <c r="H58" i="158"/>
  <c r="G58" i="158"/>
  <c r="H57" i="158"/>
  <c r="H56" i="158"/>
  <c r="G56" i="158"/>
  <c r="H55" i="158"/>
  <c r="G55" i="158"/>
  <c r="H54" i="158"/>
  <c r="G54" i="158"/>
  <c r="H53" i="158"/>
  <c r="G53" i="158"/>
  <c r="H50" i="158"/>
  <c r="G50" i="158"/>
  <c r="H49" i="158"/>
  <c r="G49" i="158"/>
  <c r="H48" i="158"/>
  <c r="G48" i="158"/>
  <c r="H47" i="158"/>
  <c r="G47" i="158"/>
  <c r="H46" i="158"/>
  <c r="G46" i="158"/>
  <c r="H35" i="158"/>
  <c r="H34" i="158"/>
  <c r="H33" i="158"/>
  <c r="G33" i="158"/>
  <c r="H32" i="158"/>
  <c r="G32" i="158"/>
  <c r="H31" i="158"/>
  <c r="G31" i="158"/>
  <c r="H30" i="158"/>
  <c r="G30" i="158"/>
  <c r="H28" i="158"/>
  <c r="H27" i="158"/>
  <c r="H26" i="158"/>
  <c r="G26" i="158"/>
  <c r="H25" i="158"/>
  <c r="G25" i="158"/>
  <c r="H24" i="158"/>
  <c r="G24" i="158"/>
  <c r="H23" i="158"/>
  <c r="G23" i="158"/>
  <c r="H22" i="158"/>
  <c r="G22" i="158"/>
  <c r="B18" i="159"/>
  <c r="B9" i="159"/>
  <c r="H68" i="158"/>
  <c r="B68" i="158"/>
  <c r="B59" i="158"/>
  <c r="G59" i="158" s="1"/>
  <c r="B43" i="158"/>
  <c r="B42" i="158"/>
  <c r="B41" i="158"/>
  <c r="B39" i="158"/>
  <c r="B37" i="158"/>
  <c r="B35" i="158"/>
  <c r="G35" i="158" s="1"/>
  <c r="B28" i="158"/>
  <c r="G28" i="158" s="1"/>
  <c r="H38" i="158"/>
  <c r="G39" i="158"/>
  <c r="F59" i="158"/>
  <c r="B44" i="158" l="1"/>
  <c r="G63" i="158"/>
  <c r="F39" i="158"/>
  <c r="F41" i="158"/>
  <c r="H20" i="158"/>
  <c r="F40" i="158"/>
  <c r="F43" i="158"/>
  <c r="G40" i="158"/>
  <c r="G37" i="158"/>
  <c r="F37" i="158"/>
  <c r="F42" i="158"/>
  <c r="G42" i="158"/>
  <c r="G20" i="158"/>
  <c r="G41" i="158"/>
  <c r="G68" i="158"/>
  <c r="H44" i="158"/>
  <c r="F68" i="158"/>
  <c r="F63" i="158"/>
  <c r="H63" i="158"/>
  <c r="F20" i="158"/>
  <c r="G44" i="158" l="1"/>
  <c r="F44" i="158"/>
</calcChain>
</file>

<file path=xl/sharedStrings.xml><?xml version="1.0" encoding="utf-8"?>
<sst xmlns="http://schemas.openxmlformats.org/spreadsheetml/2006/main" count="4034" uniqueCount="1068">
  <si>
    <t>a</t>
  </si>
  <si>
    <t>Ukazovateľ</t>
  </si>
  <si>
    <t>v tom:</t>
  </si>
  <si>
    <t>v tis. Eur</t>
  </si>
  <si>
    <t>Spolu</t>
  </si>
  <si>
    <t>Výdavky Sociálnej poisťovne</t>
  </si>
  <si>
    <t>Druh dávky</t>
  </si>
  <si>
    <t>Základný fond nemocenského poistenia</t>
  </si>
  <si>
    <t>nemocenské</t>
  </si>
  <si>
    <t>ošetrovné</t>
  </si>
  <si>
    <t>vyrovnávacia dávka</t>
  </si>
  <si>
    <t>materské</t>
  </si>
  <si>
    <t>Celkom výdavky ZFNP</t>
  </si>
  <si>
    <t>Základný fond starobného poistenia</t>
  </si>
  <si>
    <t>starobný dôchodok</t>
  </si>
  <si>
    <t>predčasný starobný dôchodok</t>
  </si>
  <si>
    <t>vdovský dôchodok</t>
  </si>
  <si>
    <t xml:space="preserve">vdovecký dôchodok </t>
  </si>
  <si>
    <t>sirotský dôchodok</t>
  </si>
  <si>
    <t xml:space="preserve">zúčtovanie dávok § 112, ods.9 </t>
  </si>
  <si>
    <t>Základný fond invalidného poistenia</t>
  </si>
  <si>
    <t>invalidný dôchodok</t>
  </si>
  <si>
    <t>vdovecký dôchodok</t>
  </si>
  <si>
    <t>Dôchodkové dávky celkom</t>
  </si>
  <si>
    <t>Celkom</t>
  </si>
  <si>
    <t>Základný fond úrazového poistenia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</si>
  <si>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</si>
  <si>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</si>
  <si>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</si>
  <si>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</si>
  <si>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</si>
  <si>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</si>
  <si>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</si>
  <si>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</si>
  <si>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</si>
  <si>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</si>
  <si>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výplata poistných plnení m.r.</t>
  </si>
  <si>
    <t>zúčtovanie  dávok § 112</t>
  </si>
  <si>
    <t>18% prevod do ZFSP za pob.úrazovej renty</t>
  </si>
  <si>
    <t>Základný fond garančného poistenia</t>
  </si>
  <si>
    <t>Výdavky na dávku garančného poistenia</t>
  </si>
  <si>
    <t>Úhrada príspevkov na SDS</t>
  </si>
  <si>
    <t xml:space="preserve">Celkom </t>
  </si>
  <si>
    <t>Základný fond poistenia v nezamestnanosti</t>
  </si>
  <si>
    <t>výdavky na dávku v nezamestnanosti</t>
  </si>
  <si>
    <t>zúčtovanie dávok § 112</t>
  </si>
  <si>
    <t>refundácia dávky v nezamestnanosti do EÚ</t>
  </si>
  <si>
    <t>VÝDAVKY CELKOM</t>
  </si>
  <si>
    <t>základný fond nemocenského poistenia</t>
  </si>
  <si>
    <t xml:space="preserve">základný fond starobného poistenia </t>
  </si>
  <si>
    <t xml:space="preserve">základný fond invalidného poistenia </t>
  </si>
  <si>
    <t xml:space="preserve">základný fond úrazového poistenia </t>
  </si>
  <si>
    <t xml:space="preserve">základný fond garančného poistenia </t>
  </si>
  <si>
    <t>základný fond  poistenia v nezamestnanosti</t>
  </si>
  <si>
    <t>správny fond</t>
  </si>
  <si>
    <t>v tom:  investičné výdavky</t>
  </si>
  <si>
    <t xml:space="preserve">           prevádzkové náklady</t>
  </si>
  <si>
    <t>Riadok číslo</t>
  </si>
  <si>
    <t>1.</t>
  </si>
  <si>
    <t>Spolu zamestnanec a zamestnávateľ</t>
  </si>
  <si>
    <t>2.</t>
  </si>
  <si>
    <t>Povinne  poistená SZČO</t>
  </si>
  <si>
    <t>3.</t>
  </si>
  <si>
    <t>Dobrovoľne  poistená osoba</t>
  </si>
  <si>
    <t>Dlžné poistné</t>
  </si>
  <si>
    <t>Príspevky na SDS zaplatené zamestnávateľom po uplynutí 60 dní</t>
  </si>
  <si>
    <t>Štát - poistné za zákonom určené skupiny</t>
  </si>
  <si>
    <t>Sociálna poisťovňa - poistné zo ZFÚP do ZFSP za poberateľov úrazovej renty (§ 88)</t>
  </si>
  <si>
    <t>Príjmy z príspevkov na SDS (EAO)</t>
  </si>
  <si>
    <t>Príjmy z príspevkov na SDS (štát)</t>
  </si>
  <si>
    <t>Príjmy cez pobočky spolu s SDS (r.č. 1 až 6 a 10)</t>
  </si>
  <si>
    <t xml:space="preserve">Január  </t>
  </si>
  <si>
    <t>Február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</si>
  <si>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</si>
  <si>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</si>
  <si>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</si>
  <si>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</si>
  <si>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</si>
  <si>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</si>
  <si>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</si>
  <si>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</si>
  <si>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</si>
  <si>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Príjmy z otvorenia II. piliera</t>
  </si>
  <si>
    <t xml:space="preserve">Pokuty a penále </t>
  </si>
  <si>
    <t>Príjmy spolu s príspevkami na SDS celkom ( bez prostriedkov zo ŠR)</t>
  </si>
  <si>
    <t>Príjmy z poistného a príspevkov na SDS (r.č. 1, 2, 3, 6, 7, 8, 10, 11, 12)</t>
  </si>
  <si>
    <t>Ostatné príjmy</t>
  </si>
  <si>
    <t>dôchodkové poistenie spolu</t>
  </si>
  <si>
    <t>Príjmy Sociálnej poisťovne vrátane príspevkov na SDS rok 2014</t>
  </si>
  <si>
    <t>Schválený rozpočet na rok 2014</t>
  </si>
  <si>
    <t>Výdavky Sociálnej poisťovne rok 2014</t>
  </si>
  <si>
    <t>Marec</t>
  </si>
  <si>
    <t>Apríl</t>
  </si>
  <si>
    <t>Máj</t>
  </si>
  <si>
    <t>Jún</t>
  </si>
  <si>
    <t>zúčtovnie dávok § 112</t>
  </si>
  <si>
    <t>Júl</t>
  </si>
  <si>
    <t>August</t>
  </si>
  <si>
    <t>cudzie platby (pobočka SNV)</t>
  </si>
  <si>
    <t>September</t>
  </si>
  <si>
    <t>Október</t>
  </si>
  <si>
    <t>Ú č e t</t>
  </si>
  <si>
    <t>Číslo bežného účtu</t>
  </si>
  <si>
    <t xml:space="preserve">                                       Zostatok v tis. Eur</t>
  </si>
  <si>
    <t>Obraty v tis Eur</t>
  </si>
  <si>
    <t>v  Štátnej pokladnici</t>
  </si>
  <si>
    <t>Bežný účet</t>
  </si>
  <si>
    <t xml:space="preserve">z toho   Cash pooling </t>
  </si>
  <si>
    <t>Termínovaný vklad</t>
  </si>
  <si>
    <t>Kredit</t>
  </si>
  <si>
    <t>Debet</t>
  </si>
  <si>
    <t xml:space="preserve">nemocenského poistenia   (ZFNP) </t>
  </si>
  <si>
    <t>7000165528/8180</t>
  </si>
  <si>
    <t>dôchodkového  poistenia    (účet  DP)</t>
  </si>
  <si>
    <t>7000164541/8180</t>
  </si>
  <si>
    <t>garančného poistenia   (ZFGP)</t>
  </si>
  <si>
    <t>7000165552/8180</t>
  </si>
  <si>
    <t>poistenia v nezamestnanosti  (ZFPvN)</t>
  </si>
  <si>
    <t>7000165544/8180</t>
  </si>
  <si>
    <t>úrazového poistenia  (ZFÚP)</t>
  </si>
  <si>
    <t>7000165536/8180</t>
  </si>
  <si>
    <t>,</t>
  </si>
  <si>
    <t>Spolu účty základných fondov v ústredí</t>
  </si>
  <si>
    <t>rezervného fondu  solidarity  ( RFS)</t>
  </si>
  <si>
    <t>7000164533/8180</t>
  </si>
  <si>
    <t>Spolu disponibilné zdroje v ústredí na výplatu dávok</t>
  </si>
  <si>
    <t>Ostatné účty spolu</t>
  </si>
  <si>
    <t>v pobočkách na výplatu dávok realizovaných pobočkami</t>
  </si>
  <si>
    <t>centrálny účet ústredia</t>
  </si>
  <si>
    <t>7000164322/8180</t>
  </si>
  <si>
    <t>osob.účet zákl.fondu prísp. na star.dôch.spor SocP</t>
  </si>
  <si>
    <t>7000181034/8180</t>
  </si>
  <si>
    <t>správny fond ústredie</t>
  </si>
  <si>
    <t>7000164314/8180</t>
  </si>
  <si>
    <t>správny fond v pobočkách</t>
  </si>
  <si>
    <t>účet zdaňovanej činnosti SP</t>
  </si>
  <si>
    <t>7000164509/8180</t>
  </si>
  <si>
    <t>sociálny fond SP-ústredie</t>
  </si>
  <si>
    <t>7000164525/8180</t>
  </si>
  <si>
    <t>sociálny fond SP-pobočkách</t>
  </si>
  <si>
    <t>účet osobitných prostriedkov SP</t>
  </si>
  <si>
    <t>7000164517/8180</t>
  </si>
  <si>
    <t>BÚ-ESF-SP</t>
  </si>
  <si>
    <t>7000293052/8180</t>
  </si>
  <si>
    <t xml:space="preserve">S p o l u   všetky účty </t>
  </si>
  <si>
    <t>v tom :</t>
  </si>
  <si>
    <t>v tis. Eur.</t>
  </si>
  <si>
    <t>rok 2014</t>
  </si>
  <si>
    <t>z  RFS</t>
  </si>
  <si>
    <t>zo ZFIP</t>
  </si>
  <si>
    <t>zo ZFPvN</t>
  </si>
  <si>
    <t>zo ZFÚP</t>
  </si>
  <si>
    <t>do ZFSP</t>
  </si>
  <si>
    <t>1. štvrťrok</t>
  </si>
  <si>
    <t>2. štvrťrok</t>
  </si>
  <si>
    <t>3. štvrťrok</t>
  </si>
  <si>
    <t>4. štvrťrok</t>
  </si>
  <si>
    <t>s p o l u</t>
  </si>
  <si>
    <t>Poukázané  finančné  prostriedky zo ŠR</t>
  </si>
  <si>
    <t>November</t>
  </si>
  <si>
    <t>zo ZFNP</t>
  </si>
  <si>
    <t>December</t>
  </si>
  <si>
    <t>Rozdiel</t>
  </si>
  <si>
    <t>Rok  2014</t>
  </si>
  <si>
    <t>Skutočnosť rok</t>
  </si>
  <si>
    <t>3-1</t>
  </si>
  <si>
    <t>3-2</t>
  </si>
  <si>
    <t>% plnenia  3/1</t>
  </si>
  <si>
    <t>Index  3/2</t>
  </si>
  <si>
    <t>Prehľad o zostatkoch finančných prostriedkov na bežných účtoch  v Štátnej pokladnici  dňa 31.12.2014</t>
  </si>
  <si>
    <t>Presuny realizované na krytie výplat  dôchodkových dávok v roku 2014 vo výške 1 461 tis. Eur.</t>
  </si>
  <si>
    <t>zo ZFGP</t>
  </si>
  <si>
    <t>Prehľad o príjmoch a výdavkoch Sociálnej poisťovne na dávky, ktoré hradí štát v roku 2014</t>
  </si>
  <si>
    <t>Kapitola štátneho rozpočtu MPSVR SR</t>
  </si>
  <si>
    <t>Rozpis rozpočtu na január až december 2014</t>
  </si>
  <si>
    <t>Skutočnosť za január až december 2014</t>
  </si>
  <si>
    <t>% plnenia 3/1</t>
  </si>
  <si>
    <t>% plnenia 3/2</t>
  </si>
  <si>
    <t>1</t>
  </si>
  <si>
    <t>2</t>
  </si>
  <si>
    <t>PRÍJMY</t>
  </si>
  <si>
    <t>VÝDAVKY</t>
  </si>
  <si>
    <t xml:space="preserve"> </t>
  </si>
  <si>
    <t>a/ dôchodok manželky</t>
  </si>
  <si>
    <t>b/ sociálny dôchodok</t>
  </si>
  <si>
    <t>c/ zvýšenie dôchodku z dôvodu JZP</t>
  </si>
  <si>
    <t>d/ zvýšenie dôchodku pre bezvládnosť</t>
  </si>
  <si>
    <t>e/ zvýšenie dôchodku z dôvodu účasti v odboji a rehabilitácie */</t>
  </si>
  <si>
    <t>f/ dávky podľa § 271</t>
  </si>
  <si>
    <t>g/ odškodnenie prac. úrazov a chorôb z povolania zamestnancov zrušených zamestnávateľov, ktorých  zakladateľom bol štát alebo FNM SR</t>
  </si>
  <si>
    <t>h/ plnenia vyplývajúce zo zodpovednoti zamestnávateľa za škodu pri pracovnom úraze a chorobe z povolania vzniknuté pred 1. aprílom 2002 u zamestnávateľa, ktorý mal podľa osobitného predpisu postavenie štátneho orgánu</t>
  </si>
  <si>
    <t>i/ úrazové dávky poskytované fyzickým osobám uvedeným v § 17 ods. 2 a 3 zákona o sociálnom poistení</t>
  </si>
  <si>
    <t>j/ príplatok k dôchodku za štátnu službu</t>
  </si>
  <si>
    <t>k/ plnenia podľa § 293o ods.6</t>
  </si>
  <si>
    <t>.</t>
  </si>
  <si>
    <t>l/ vianočný príspevok a úhrada nákladov spojená s jeho výplatou</t>
  </si>
  <si>
    <t>m/ príplatok k dôchodku politickým väzňom podľa zákona č. 274/2007 Z.z.v znení neskorších predpisov **/</t>
  </si>
  <si>
    <t>jednorazový finančný príspevok politickým väzňom podľa zákona č. 462/2002 Z. z.</t>
  </si>
  <si>
    <t>invalidné dôchodky podľa §70 ods.2 (invalidi z mladosti) (§168a)</t>
  </si>
  <si>
    <t>ROZDIEL PRÍJMOV A VÝDAVKOV</t>
  </si>
  <si>
    <t>výdavky</t>
  </si>
  <si>
    <t>rozdiel príjmov a výdavkov</t>
  </si>
  <si>
    <t xml:space="preserve">*/ v dávke zvýšenie dôchodku z titulu rehabilitácie sú zahrnuté aj finančné prostriedky, poskytované ako príplatok k dôchodku podľa § 7 zákona č. 305/1999 Z.z. </t>
  </si>
  <si>
    <t>**/  v dávke príplatok k dôchodku politickým väzňom podľa zákona č. 274/2007 Z.z.v znení neskorších predpisov  je zahrnutý príspevok aj pre osoby pozostalé po popravenom alebo zomretom</t>
  </si>
  <si>
    <t>politickom väzňovi počas výkonu trestu podľa zákona č. 272/2008 Z.z., ktorým sa mení a dopĺňa zákon č. 274/2007 Z.z.</t>
  </si>
  <si>
    <t>Kapitola štátneho rozpočtu MO SR</t>
  </si>
  <si>
    <t>príspevok účastníkom národného boja za oslobodenie a vdovám a vdovcom po týchto osobách podľa článku III. bod 2 zákona č. 285/2009 Z. z. a na úhradu výdavkov spojených s jeho výplatou</t>
  </si>
  <si>
    <t>Finančné prostriedky poukázané MO SR</t>
  </si>
  <si>
    <t>Rozdiel - príjmov a výdavkov (pohľadávka voči MO SR)</t>
  </si>
  <si>
    <t>v tom  vianočný príspevok                                                                        príjmy</t>
  </si>
  <si>
    <t>v tom ostatné dávky, ktoré hradí štát                                                       príjmy</t>
  </si>
  <si>
    <t>Súhrnná bilancia - bez príspevkov na SDS (s vplyvom II. piliera)</t>
  </si>
  <si>
    <t>Skutočnosť za rok 2013</t>
  </si>
  <si>
    <t>Schválený rozpočet na rok 2014 */</t>
  </si>
  <si>
    <t xml:space="preserve">Skutočnosť k 31. 12. 2014 </t>
  </si>
  <si>
    <t>Rozdiel  3-2</t>
  </si>
  <si>
    <t>Základné údaje</t>
  </si>
  <si>
    <t>Príjmy v bežnom roku</t>
  </si>
  <si>
    <t>z toho prostriedky zo  Štátneho rozpočtu SR</t>
  </si>
  <si>
    <t>Použitie prostriedkov jednotlivých fondov</t>
  </si>
  <si>
    <t>Bilančný rozdiel v bežnom roku</t>
  </si>
  <si>
    <t xml:space="preserve">Prevod z minulých rokov </t>
  </si>
  <si>
    <t>Bilančný rozdiel celkom</t>
  </si>
  <si>
    <t>Zdroje</t>
  </si>
  <si>
    <t>Príjmy</t>
  </si>
  <si>
    <t>Poistné, v tom:</t>
  </si>
  <si>
    <t xml:space="preserve">nemocenské </t>
  </si>
  <si>
    <t xml:space="preserve">starobné </t>
  </si>
  <si>
    <t xml:space="preserve">invalidné </t>
  </si>
  <si>
    <t>úrazové</t>
  </si>
  <si>
    <t>garančné</t>
  </si>
  <si>
    <t>v nezamestnanosti</t>
  </si>
  <si>
    <t>rezervný fond solidarity</t>
  </si>
  <si>
    <t>Sankcie</t>
  </si>
  <si>
    <t>Príjmy z garančného poistenia po uplynutí 60 dní</t>
  </si>
  <si>
    <t>Transfery</t>
  </si>
  <si>
    <t>Výdavky</t>
  </si>
  <si>
    <t>Základné fondy, v tom:</t>
  </si>
  <si>
    <t>Správny fond</t>
  </si>
  <si>
    <t>Tvorba v bežnom roku</t>
  </si>
  <si>
    <t>Použitie</t>
  </si>
  <si>
    <t>*/ Údaje sú schválené uznesením NR SR  č. 961 zo 17. decembra 2013</t>
  </si>
  <si>
    <t>Index 3/1</t>
  </si>
  <si>
    <t>Mesačný vývoj použitia správneho fondu celkom za rok 2013 a 2014</t>
  </si>
  <si>
    <t>v Eur</t>
  </si>
  <si>
    <t>Eur</t>
  </si>
  <si>
    <t>Ukazovatele</t>
  </si>
  <si>
    <t>R O K      2   0  1  3</t>
  </si>
  <si>
    <t>Rozpočet</t>
  </si>
  <si>
    <t xml:space="preserve"> S K U T O Č N O S Ť</t>
  </si>
  <si>
    <t>Január</t>
  </si>
  <si>
    <t xml:space="preserve"> Správny fond celkom</t>
  </si>
  <si>
    <t>neúplné</t>
  </si>
  <si>
    <t>R O K      2   0  1  4</t>
  </si>
  <si>
    <t>Upravený</t>
  </si>
  <si>
    <t>rozpočet</t>
  </si>
  <si>
    <t>Vyhodnotenie plnenia upraveného rozpisu rozpočtu správneho fondu Sociálnej poisťovne za rok 2014</t>
  </si>
  <si>
    <t>Org. útvary SP</t>
  </si>
  <si>
    <t>Spotrebované nákupy</t>
  </si>
  <si>
    <t>Služby</t>
  </si>
  <si>
    <t>Osobné náklady</t>
  </si>
  <si>
    <t>Dane a poplatky</t>
  </si>
  <si>
    <t>Ostatné náklady</t>
  </si>
  <si>
    <t xml:space="preserve"> Bežné výdavky</t>
  </si>
  <si>
    <t>Kapitálové výdavky</t>
  </si>
  <si>
    <t>Správny fond SPOLU</t>
  </si>
  <si>
    <t>* Ústredie SP (132)</t>
  </si>
  <si>
    <t xml:space="preserve">  Rozpis rozpočtu</t>
  </si>
  <si>
    <t xml:space="preserve">  Upravený rozpis rozpočtu</t>
  </si>
  <si>
    <t>* Skutočnosť</t>
  </si>
  <si>
    <t>* % Plnenia z URR</t>
  </si>
  <si>
    <t>* Pol. obj. Nevädzová</t>
  </si>
  <si>
    <t xml:space="preserve">  Upravený rozpisrozpočtu</t>
  </si>
  <si>
    <t>* DaRZ Staré Hory(136)</t>
  </si>
  <si>
    <t>* DaRZ Pavčina Lehota</t>
  </si>
  <si>
    <t>* Dozorná rada (133)</t>
  </si>
  <si>
    <t>** ÚSTREDIE SPOLU</t>
  </si>
  <si>
    <t>*  Rozpis rozpočtu</t>
  </si>
  <si>
    <t>*  Upravený rozpis rozpočtu</t>
  </si>
  <si>
    <t>*  Skutočnosť</t>
  </si>
  <si>
    <t>* Pobočky SP (132)</t>
  </si>
  <si>
    <t>*** SPRÁVNY FOND SPOLU</t>
  </si>
  <si>
    <t>**  Rozpis rozpočtu</t>
  </si>
  <si>
    <t>**  Upravený rozpis rozpočtu</t>
  </si>
  <si>
    <t>**  Skutočnosť</t>
  </si>
  <si>
    <t>** % Plnenia z URR</t>
  </si>
  <si>
    <t>Vyhodnotenie plnenia rozpisu rozpočtu bežných výdavkov (nákladov) správneho fondu Sociálnej poisťovne za rok 2014</t>
  </si>
  <si>
    <t>v štruktúre funkčnej a ekonomickej klasifikácie</t>
  </si>
  <si>
    <t xml:space="preserve">Funkčná </t>
  </si>
  <si>
    <t>Ekonomická klasifikácia</t>
  </si>
  <si>
    <t>Text</t>
  </si>
  <si>
    <t>Rozpis</t>
  </si>
  <si>
    <t>Rozpis rozpočtu</t>
  </si>
  <si>
    <t>Skutočnosť</t>
  </si>
  <si>
    <t>%</t>
  </si>
  <si>
    <t>klasifikácia</t>
  </si>
  <si>
    <t xml:space="preserve">Hlavná </t>
  </si>
  <si>
    <t>Kategória</t>
  </si>
  <si>
    <t>Položka</t>
  </si>
  <si>
    <t>Podpo-</t>
  </si>
  <si>
    <t>rozpočtu</t>
  </si>
  <si>
    <t>po úpravách</t>
  </si>
  <si>
    <t>za rok</t>
  </si>
  <si>
    <t>plnenia</t>
  </si>
  <si>
    <t>oddiel/skupina/</t>
  </si>
  <si>
    <t>kategória</t>
  </si>
  <si>
    <t>ložka</t>
  </si>
  <si>
    <t>na rok 2014</t>
  </si>
  <si>
    <t>(3 : 2)</t>
  </si>
  <si>
    <t>trieda/podtrieda</t>
  </si>
  <si>
    <t>b</t>
  </si>
  <si>
    <t>c</t>
  </si>
  <si>
    <t>d</t>
  </si>
  <si>
    <t>e</t>
  </si>
  <si>
    <t>f</t>
  </si>
  <si>
    <t>10.9.0.3</t>
  </si>
  <si>
    <t>600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</si>
  <si>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</si>
  <si>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</si>
  <si>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</si>
  <si>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</si>
  <si>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</si>
  <si>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</si>
  <si>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</si>
  <si>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</si>
  <si>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</si>
  <si>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</si>
  <si>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</si>
  <si>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</si>
  <si>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</si>
  <si>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</si>
  <si>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</si>
  <si>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</si>
  <si>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</si>
  <si>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</si>
  <si>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</si>
  <si>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</si>
  <si>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</si>
  <si>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</si>
  <si>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</si>
  <si>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</si>
  <si>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</si>
  <si>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</si>
  <si>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</si>
  <si>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</si>
  <si>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</si>
  <si>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</si>
  <si>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</si>
  <si>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</si>
  <si>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</si>
  <si>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</si>
  <si>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</si>
  <si>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</si>
  <si>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</si>
  <si>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</si>
  <si>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</si>
  <si>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</si>
  <si>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</si>
  <si>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</si>
  <si>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</si>
  <si>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</si>
  <si>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</si>
  <si>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</si>
  <si>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</si>
  <si>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</si>
  <si>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</si>
  <si>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</si>
  <si>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</si>
  <si>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</si>
  <si>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</si>
  <si>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</si>
  <si>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</si>
  <si>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</si>
  <si>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</si>
  <si>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</si>
  <si>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</si>
  <si>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</si>
  <si>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</si>
  <si>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</si>
  <si>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</si>
  <si>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</si>
  <si>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</si>
  <si>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633013</t>
  </si>
  <si>
    <t xml:space="preserve"> Softvér 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</si>
  <si>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</si>
  <si>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</si>
  <si>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</si>
  <si>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</si>
  <si>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</si>
  <si>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</si>
  <si>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</si>
  <si>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</si>
  <si>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</si>
  <si>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</si>
  <si>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</si>
  <si>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</si>
  <si>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</si>
  <si>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</si>
  <si>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</si>
  <si>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</si>
  <si>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</si>
  <si>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</si>
  <si>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</si>
  <si>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</si>
  <si>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</si>
  <si>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</si>
  <si>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</si>
  <si>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</si>
  <si>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</si>
  <si>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</si>
  <si>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</si>
  <si>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</si>
  <si>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</si>
  <si>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</si>
  <si>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</si>
  <si>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</si>
  <si>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</si>
  <si>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</si>
  <si>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</si>
  <si>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</si>
  <si>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</si>
  <si>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</si>
  <si>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</si>
  <si>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</si>
  <si>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</si>
  <si>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</si>
  <si>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</si>
  <si>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</si>
  <si>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</si>
  <si>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</si>
  <si>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</si>
  <si>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</si>
  <si>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>10.9.0.4</t>
  </si>
  <si>
    <t>637029</t>
  </si>
  <si>
    <t xml:space="preserve"> Manká a škody</t>
  </si>
  <si>
    <t xml:space="preserve">637031 </t>
  </si>
  <si>
    <t xml:space="preserve"> Pokuty a penále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</si>
  <si>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</si>
  <si>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</si>
  <si>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</si>
  <si>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</si>
  <si>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</si>
  <si>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</si>
  <si>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</si>
  <si>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</si>
  <si>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</si>
  <si>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</si>
  <si>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</si>
  <si>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</si>
  <si>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</si>
  <si>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</si>
  <si>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</si>
  <si>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</si>
  <si>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</si>
  <si>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</si>
  <si>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</si>
  <si>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</si>
  <si>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</si>
  <si>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</si>
  <si>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upraveného rozpisu rozpočtu kapitálových výdavkov (nákladov) správneho fondu Sociálnej poisťovne</t>
  </si>
  <si>
    <t xml:space="preserve"> za rok 2014 v štruktúre funkčnej a ekonomickej klasifikácie</t>
  </si>
  <si>
    <t>700</t>
  </si>
  <si>
    <t xml:space="preserve"> Kapitálové výdavky</t>
  </si>
  <si>
    <t>710</t>
  </si>
  <si>
    <t xml:space="preserve"> Obstarávanie kapitálových aktív</t>
  </si>
  <si>
    <t xml:space="preserve"> 711</t>
  </si>
  <si>
    <t xml:space="preserve"> Nákup pozemkov a nehmotných aktív</t>
  </si>
  <si>
    <t>711001</t>
  </si>
  <si>
    <t xml:space="preserve"> Pozemkov</t>
  </si>
  <si>
    <t xml:space="preserve"> 711003</t>
  </si>
  <si>
    <t xml:space="preserve"> Softvéru</t>
  </si>
  <si>
    <t xml:space="preserve"> 711004</t>
  </si>
  <si>
    <t xml:space="preserve"> Licencií</t>
  </si>
  <si>
    <t>712</t>
  </si>
  <si>
    <t xml:space="preserve"> Nákup budov, objektov alebo ich častí</t>
  </si>
  <si>
    <t>712001</t>
  </si>
  <si>
    <t xml:space="preserve"> 713</t>
  </si>
  <si>
    <t xml:space="preserve"> Nákup strojov, prístrojov, zariadení, techniky a náradia</t>
  </si>
  <si>
    <t xml:space="preserve"> 713001</t>
  </si>
  <si>
    <t xml:space="preserve"> Interiérového vybavenia</t>
  </si>
  <si>
    <t xml:space="preserve"> 713002</t>
  </si>
  <si>
    <t xml:space="preserve"> 713003</t>
  </si>
  <si>
    <t xml:space="preserve"> 713004</t>
  </si>
  <si>
    <t xml:space="preserve"> 713005</t>
  </si>
  <si>
    <t xml:space="preserve"> Špeciálnych strojov, prístrojov, zariadení, techniky, náradia a materiálu</t>
  </si>
  <si>
    <t xml:space="preserve"> 714</t>
  </si>
  <si>
    <t xml:space="preserve"> Nákup dopravných prostriedkov všetkých druhov</t>
  </si>
  <si>
    <t>714001</t>
  </si>
  <si>
    <t xml:space="preserve"> Osobných automobilov</t>
  </si>
  <si>
    <t xml:space="preserve"> 716</t>
  </si>
  <si>
    <t xml:space="preserve"> Prípravná a projektová dokumentácia</t>
  </si>
  <si>
    <t xml:space="preserve"> 717</t>
  </si>
  <si>
    <t xml:space="preserve"> Realizácia stavieb a ich technické zhodnotenie</t>
  </si>
  <si>
    <t>717001</t>
  </si>
  <si>
    <t xml:space="preserve"> Realizácia nových stavieb</t>
  </si>
  <si>
    <t>717002</t>
  </si>
  <si>
    <t xml:space="preserve"> Rekonštrukcia a modernizácia</t>
  </si>
  <si>
    <t>717003</t>
  </si>
  <si>
    <t xml:space="preserve"> Prístavby, nadstavby, stavebné úpravy</t>
  </si>
  <si>
    <t>Vyhodnotenie plnenia upraveného rozpisu rozpočtu bežných výdavkov (nákladov) správneho fondu Sociálnej poisťovne, ústredie</t>
  </si>
  <si>
    <t>Evidencia úpravy rozpisu rozpočtu v Sociálnej poisťovni ústredie</t>
  </si>
  <si>
    <t>za rok  2014</t>
  </si>
  <si>
    <t>Poradové</t>
  </si>
  <si>
    <t>Dátum</t>
  </si>
  <si>
    <t>Fond</t>
  </si>
  <si>
    <t>Protokolárne</t>
  </si>
  <si>
    <t xml:space="preserve">Druh </t>
  </si>
  <si>
    <t>Druh rozpočtu</t>
  </si>
  <si>
    <t>Finančné</t>
  </si>
  <si>
    <t>Finanč.položka</t>
  </si>
  <si>
    <t>Program</t>
  </si>
  <si>
    <t>Suma</t>
  </si>
  <si>
    <t>číslo</t>
  </si>
  <si>
    <t>operácie</t>
  </si>
  <si>
    <t>stredisko</t>
  </si>
  <si>
    <t>BA--0029841/2014</t>
  </si>
  <si>
    <t>Odoslanie</t>
  </si>
  <si>
    <t>Rozpočtové opatrenie</t>
  </si>
  <si>
    <t>632001.50210000</t>
  </si>
  <si>
    <t>ZZZ</t>
  </si>
  <si>
    <t>Prijatie</t>
  </si>
  <si>
    <t>SF Ústredie</t>
  </si>
  <si>
    <t>637004.51811000</t>
  </si>
  <si>
    <t>634004.51829000</t>
  </si>
  <si>
    <t>BA--0039312/2014</t>
  </si>
  <si>
    <t>633001.50142100</t>
  </si>
  <si>
    <t>633006.50113000</t>
  </si>
  <si>
    <t>637011.51814000</t>
  </si>
  <si>
    <t>BA--0036800/2014</t>
  </si>
  <si>
    <t>632003.51910000</t>
  </si>
  <si>
    <t>637029.54810000</t>
  </si>
  <si>
    <t>637031.54210000</t>
  </si>
  <si>
    <t>637031.54230000</t>
  </si>
  <si>
    <t>BA--0051859/2014</t>
  </si>
  <si>
    <t>4.</t>
  </si>
  <si>
    <t>BA--0058899/2014</t>
  </si>
  <si>
    <t>611000.52110000</t>
  </si>
  <si>
    <t>625002.52442000</t>
  </si>
  <si>
    <t>614000.52140000</t>
  </si>
  <si>
    <t>621000.52411000</t>
  </si>
  <si>
    <t>625001.52441000</t>
  </si>
  <si>
    <t>625003.52443000</t>
  </si>
  <si>
    <t>625004.52444000</t>
  </si>
  <si>
    <t>625005.52445000</t>
  </si>
  <si>
    <t>625006.52446000</t>
  </si>
  <si>
    <t>625007.52447000</t>
  </si>
  <si>
    <t>627000.52511000</t>
  </si>
  <si>
    <t>5.</t>
  </si>
  <si>
    <t>BA--0051866/2014</t>
  </si>
  <si>
    <t>642012.52810000</t>
  </si>
  <si>
    <t>642012.52740000</t>
  </si>
  <si>
    <t>642013.52820000</t>
  </si>
  <si>
    <t>642013.52750000</t>
  </si>
  <si>
    <t>6.</t>
  </si>
  <si>
    <t>BA--0071383/2014</t>
  </si>
  <si>
    <t>633006.50112000</t>
  </si>
  <si>
    <t>634001.50131000</t>
  </si>
  <si>
    <t>634002.50122000</t>
  </si>
  <si>
    <t>7.</t>
  </si>
  <si>
    <t>BA--0074929/2014</t>
  </si>
  <si>
    <t>635002.51130000</t>
  </si>
  <si>
    <t>635004.51141000</t>
  </si>
  <si>
    <t>8.</t>
  </si>
  <si>
    <t>BA--0075166/2014</t>
  </si>
  <si>
    <t>Dodatok</t>
  </si>
  <si>
    <t>711003.04121200</t>
  </si>
  <si>
    <t>I1401</t>
  </si>
  <si>
    <t>713002.04221210</t>
  </si>
  <si>
    <t>I1402</t>
  </si>
  <si>
    <t>633006.50111200</t>
  </si>
  <si>
    <t>635004.51151000</t>
  </si>
  <si>
    <t>632003.51450000</t>
  </si>
  <si>
    <t>632004.51818000</t>
  </si>
  <si>
    <t>635002.51822000</t>
  </si>
  <si>
    <t>713004.04221230</t>
  </si>
  <si>
    <t>P1402</t>
  </si>
  <si>
    <t>713005.04221240</t>
  </si>
  <si>
    <t>P1401</t>
  </si>
  <si>
    <t>714001.04231200</t>
  </si>
  <si>
    <t>P1301</t>
  </si>
  <si>
    <t>716000.04251200</t>
  </si>
  <si>
    <t>P1340</t>
  </si>
  <si>
    <t>P1306</t>
  </si>
  <si>
    <t>P1120</t>
  </si>
  <si>
    <t>717002.04211220</t>
  </si>
  <si>
    <t>P1205</t>
  </si>
  <si>
    <t>P1215</t>
  </si>
  <si>
    <t>P1103</t>
  </si>
  <si>
    <t>P1407</t>
  </si>
  <si>
    <t>P1333</t>
  </si>
  <si>
    <t>P1335</t>
  </si>
  <si>
    <t>P1314</t>
  </si>
  <si>
    <t>717003.04211230</t>
  </si>
  <si>
    <t>P1408</t>
  </si>
  <si>
    <t>P1409</t>
  </si>
  <si>
    <t>633006.50111000</t>
  </si>
  <si>
    <t>633006.50114000</t>
  </si>
  <si>
    <t>633006.50121000</t>
  </si>
  <si>
    <t>635006.51110000</t>
  </si>
  <si>
    <t>634002.51120000</t>
  </si>
  <si>
    <t>635004.51140000</t>
  </si>
  <si>
    <t>635004.51150000</t>
  </si>
  <si>
    <t>635001.51160000</t>
  </si>
  <si>
    <t>636001.51610000</t>
  </si>
  <si>
    <t>637004.51812000</t>
  </si>
  <si>
    <t>637005.51813000</t>
  </si>
  <si>
    <t>632003.51827000</t>
  </si>
  <si>
    <t>633010.52730000</t>
  </si>
  <si>
    <t>637035.53210000</t>
  </si>
  <si>
    <t>632001.50220000</t>
  </si>
  <si>
    <t>633004.50142400</t>
  </si>
  <si>
    <t>632002.50310000</t>
  </si>
  <si>
    <t>632003.51410000</t>
  </si>
  <si>
    <t>637014.52720000</t>
  </si>
  <si>
    <t>637012.53810000</t>
  </si>
  <si>
    <t>637012.54910000</t>
  </si>
  <si>
    <t>637034.54940000</t>
  </si>
  <si>
    <t>637004.51828000</t>
  </si>
  <si>
    <t>9.</t>
  </si>
  <si>
    <t>BA--0078393/2014</t>
  </si>
  <si>
    <t>10.</t>
  </si>
  <si>
    <t>BA--0099363/2014</t>
  </si>
  <si>
    <t>11.</t>
  </si>
  <si>
    <t>BA--0106435/2014</t>
  </si>
  <si>
    <t>12.</t>
  </si>
  <si>
    <t>BA--0105283/2014</t>
  </si>
  <si>
    <t>637024.54510000</t>
  </si>
  <si>
    <t>13.</t>
  </si>
  <si>
    <t>BA--0110666/2014</t>
  </si>
  <si>
    <t>14.</t>
  </si>
  <si>
    <t>269</t>
  </si>
  <si>
    <t>132</t>
  </si>
  <si>
    <t>BA--0116120/2014</t>
  </si>
  <si>
    <t>340</t>
  </si>
  <si>
    <t>31</t>
  </si>
  <si>
    <t>020</t>
  </si>
  <si>
    <t>15.</t>
  </si>
  <si>
    <t>274</t>
  </si>
  <si>
    <t>BA--0115423/2014</t>
  </si>
  <si>
    <t>380</t>
  </si>
  <si>
    <t>360</t>
  </si>
  <si>
    <t>330</t>
  </si>
  <si>
    <t>320</t>
  </si>
  <si>
    <t>280</t>
  </si>
  <si>
    <t>270</t>
  </si>
  <si>
    <t>250</t>
  </si>
  <si>
    <t>240</t>
  </si>
  <si>
    <t>200</t>
  </si>
  <si>
    <t>190</t>
  </si>
  <si>
    <t>170</t>
  </si>
  <si>
    <t>160</t>
  </si>
  <si>
    <t>110</t>
  </si>
  <si>
    <t>100</t>
  </si>
  <si>
    <t>080</t>
  </si>
  <si>
    <t>050</t>
  </si>
  <si>
    <t>040</t>
  </si>
  <si>
    <t>16.</t>
  </si>
  <si>
    <t>BA--0121317/2014</t>
  </si>
  <si>
    <t>637027.54920000</t>
  </si>
  <si>
    <t>17.</t>
  </si>
  <si>
    <t>BA--0130481/2014</t>
  </si>
  <si>
    <t>18.</t>
  </si>
  <si>
    <t>BA--0141373/2014</t>
  </si>
  <si>
    <t>637001.51825000</t>
  </si>
  <si>
    <t>19.</t>
  </si>
  <si>
    <t>BA--1329841/2014</t>
  </si>
  <si>
    <t>20.</t>
  </si>
  <si>
    <t>BA--0133253/2014</t>
  </si>
  <si>
    <t>21.</t>
  </si>
  <si>
    <t>BA--0144826/2014</t>
  </si>
  <si>
    <t>22.</t>
  </si>
  <si>
    <t>BA--0151212/2014</t>
  </si>
  <si>
    <t>634003.51520000</t>
  </si>
  <si>
    <t>23.</t>
  </si>
  <si>
    <t>BA--0164598/2014</t>
  </si>
  <si>
    <t>633002.50142200</t>
  </si>
  <si>
    <t>633003.50142300</t>
  </si>
  <si>
    <t>24.</t>
  </si>
  <si>
    <t>BA--0163123/2014</t>
  </si>
  <si>
    <t>25.</t>
  </si>
  <si>
    <t>26.</t>
  </si>
  <si>
    <t>BA--0172688/2014</t>
  </si>
  <si>
    <t>27.</t>
  </si>
  <si>
    <t>BA--0168766/2014</t>
  </si>
  <si>
    <t>28.</t>
  </si>
  <si>
    <t>BA--0184576/2014</t>
  </si>
  <si>
    <t>637031.54220000</t>
  </si>
  <si>
    <t>637012.54981000</t>
  </si>
  <si>
    <t>29.</t>
  </si>
  <si>
    <t>BA--0186795/2014</t>
  </si>
  <si>
    <t>30.</t>
  </si>
  <si>
    <t>BA--0188518/2014</t>
  </si>
  <si>
    <t>31.</t>
  </si>
  <si>
    <t>BA--0185675/2014</t>
  </si>
  <si>
    <t>1 400,00-</t>
  </si>
  <si>
    <t>32.</t>
  </si>
  <si>
    <t>BA--0199233/2014</t>
  </si>
  <si>
    <t>632002.51850000</t>
  </si>
  <si>
    <t>33.</t>
  </si>
  <si>
    <t>BA--0195305/2014</t>
  </si>
  <si>
    <t>34.</t>
  </si>
  <si>
    <t>BA--0200746/2014</t>
  </si>
  <si>
    <t>35.</t>
  </si>
  <si>
    <t>BA--0207239/2014</t>
  </si>
  <si>
    <t>632001.50230000</t>
  </si>
  <si>
    <t>642015.52770000</t>
  </si>
  <si>
    <t>36.</t>
  </si>
  <si>
    <t>BA--0212909/2014</t>
  </si>
  <si>
    <t>37.</t>
  </si>
  <si>
    <t>BA--0204156/2014</t>
  </si>
  <si>
    <t>38.</t>
  </si>
  <si>
    <t>BA--0215189/2014</t>
  </si>
  <si>
    <t>39.</t>
  </si>
  <si>
    <t>BA--0214893/2014</t>
  </si>
  <si>
    <t>40.</t>
  </si>
  <si>
    <t>BA--0212801/2014</t>
  </si>
  <si>
    <t>713003.04221220</t>
  </si>
  <si>
    <t>633013.51841000</t>
  </si>
  <si>
    <t>635003.51152000</t>
  </si>
  <si>
    <t>713001.04241200</t>
  </si>
  <si>
    <t>P1324</t>
  </si>
  <si>
    <t>P1011</t>
  </si>
  <si>
    <t>P1309</t>
  </si>
  <si>
    <t>P1410</t>
  </si>
  <si>
    <t>P1411</t>
  </si>
  <si>
    <t>P1412</t>
  </si>
  <si>
    <t>P1413</t>
  </si>
  <si>
    <t>P1414</t>
  </si>
  <si>
    <t>P1415</t>
  </si>
  <si>
    <t>P1417</t>
  </si>
  <si>
    <t>P1419</t>
  </si>
  <si>
    <t>P1338</t>
  </si>
  <si>
    <t>P1313</t>
  </si>
  <si>
    <t>P1403</t>
  </si>
  <si>
    <t>P1404</t>
  </si>
  <si>
    <t>P1416</t>
  </si>
  <si>
    <t>P1318</t>
  </si>
  <si>
    <t>P1405</t>
  </si>
  <si>
    <t>P1337</t>
  </si>
  <si>
    <t>P1418</t>
  </si>
  <si>
    <t>P1343</t>
  </si>
  <si>
    <t>P1406</t>
  </si>
  <si>
    <t>P1321</t>
  </si>
  <si>
    <t>41.</t>
  </si>
  <si>
    <t>BA--0205242/2014</t>
  </si>
  <si>
    <t>637005.51831000</t>
  </si>
  <si>
    <t>42.</t>
  </si>
  <si>
    <t>BA--0214912/2014</t>
  </si>
  <si>
    <t>43.</t>
  </si>
  <si>
    <t>BA--0218858/2014</t>
  </si>
  <si>
    <t>44.</t>
  </si>
  <si>
    <t>BA--0215861/2014</t>
  </si>
  <si>
    <t>621000.52413000</t>
  </si>
  <si>
    <t>623000.52433000</t>
  </si>
  <si>
    <t>625004.52444200</t>
  </si>
  <si>
    <t>625001.52441200</t>
  </si>
  <si>
    <t>625002.52442200</t>
  </si>
  <si>
    <t>625003.52443200</t>
  </si>
  <si>
    <t>625006.52446200</t>
  </si>
  <si>
    <t>625007.52447200</t>
  </si>
  <si>
    <t>637026.52310000</t>
  </si>
  <si>
    <t>631001.51210000</t>
  </si>
  <si>
    <t>637005.51819000</t>
  </si>
  <si>
    <t>632003.51920000</t>
  </si>
  <si>
    <t>623000.52431000</t>
  </si>
  <si>
    <t>45.</t>
  </si>
  <si>
    <t>BA--0219410/2014</t>
  </si>
  <si>
    <t>612002.52120000</t>
  </si>
  <si>
    <t>613000.52130000</t>
  </si>
  <si>
    <t>46.</t>
  </si>
  <si>
    <t>BA--0219406/2014</t>
  </si>
  <si>
    <t>636002.51620000</t>
  </si>
  <si>
    <t>47.</t>
  </si>
  <si>
    <t>BA--0219413/2014</t>
  </si>
  <si>
    <t>637012.54911000</t>
  </si>
  <si>
    <t>637016.52710000</t>
  </si>
  <si>
    <t>632003.51930000</t>
  </si>
  <si>
    <t>634001.50132000</t>
  </si>
  <si>
    <t>642014.54960000</t>
  </si>
  <si>
    <t>48.</t>
  </si>
  <si>
    <t>Vývoj pohľadávok Sociálnej poisťovne podľa druhov a podľa fondov mesačne v roku 2014</t>
  </si>
  <si>
    <t>Stav ku dňu</t>
  </si>
  <si>
    <t>Pohľadávky na poistnom a príspevkoch na SDS celkom                          ( účet 316 )</t>
  </si>
  <si>
    <t xml:space="preserve">Druhy pohľadávok v tis. EUR </t>
  </si>
  <si>
    <t>z toho</t>
  </si>
  <si>
    <t>Druhy pohľadávok na základe rozhodnutia</t>
  </si>
  <si>
    <t>pohľadávky na základe výkazu, prihlášky (účty 31611 a 316911)</t>
  </si>
  <si>
    <t>pohľadávky na základe rozhodnutia</t>
  </si>
  <si>
    <t>poistné</t>
  </si>
  <si>
    <t>penále</t>
  </si>
  <si>
    <t>Ostatné *</t>
  </si>
  <si>
    <t>31. decembru 2013</t>
  </si>
  <si>
    <t>31. januáru 2014</t>
  </si>
  <si>
    <t>28. februáru 2014</t>
  </si>
  <si>
    <t>31. marcu 2014</t>
  </si>
  <si>
    <t>30. aprílu 2014</t>
  </si>
  <si>
    <t>31. máju 2014</t>
  </si>
  <si>
    <t>30. júnu 2014</t>
  </si>
  <si>
    <t>31. júlu 2014</t>
  </si>
  <si>
    <t>31.augustu 2014</t>
  </si>
  <si>
    <t>30. septembru 2014</t>
  </si>
  <si>
    <t>31. októbru 2014</t>
  </si>
  <si>
    <t>30. novembru 2014</t>
  </si>
  <si>
    <t>31. decembru 2014</t>
  </si>
  <si>
    <t>*ostatné (pokuty,poplatky,regresy,preplatky na dávkach...)</t>
  </si>
  <si>
    <t>Vývoj pohľadávok SP podľa fondov (v tis.EUR)</t>
  </si>
  <si>
    <t xml:space="preserve">Pohľadávky SP podľa fondov stav </t>
  </si>
  <si>
    <t>Základné fondy spolu</t>
  </si>
  <si>
    <t xml:space="preserve">ZF nemoc. poistenia </t>
  </si>
  <si>
    <t xml:space="preserve">ZF starob. poistenia </t>
  </si>
  <si>
    <t xml:space="preserve">ZF invalid. poistenia </t>
  </si>
  <si>
    <t>ZF úrazového poist.</t>
  </si>
  <si>
    <t>ZF garanč. poistenia</t>
  </si>
  <si>
    <t>ZF poist.v nezamest.</t>
  </si>
  <si>
    <t xml:space="preserve">Rezerv.fond solidarity </t>
  </si>
  <si>
    <t xml:space="preserve">Zúčtov.poist. r. 1993 </t>
  </si>
  <si>
    <t xml:space="preserve">Zúčtov.poist. r. 1994 </t>
  </si>
  <si>
    <t>k 31. decembru 2013</t>
  </si>
  <si>
    <t>k 31.januáru 2014</t>
  </si>
  <si>
    <t>k 28. februáru 2014</t>
  </si>
  <si>
    <t>k 31. marcu 2014</t>
  </si>
  <si>
    <t>k 30. aprílu 2014</t>
  </si>
  <si>
    <t>k 31. máju 2014</t>
  </si>
  <si>
    <t>k 30. júnu 2014</t>
  </si>
  <si>
    <t>k 31. júlu 2014</t>
  </si>
  <si>
    <t>k 31.augustu 2014</t>
  </si>
  <si>
    <t>k 30. septembru 2014</t>
  </si>
  <si>
    <t>k 31. októbru 2014</t>
  </si>
  <si>
    <t>k 30. novembru 2014</t>
  </si>
  <si>
    <t>k 31. decembru 2014</t>
  </si>
  <si>
    <t>Pobočka</t>
  </si>
  <si>
    <t>Pohľadávky celkom ( účet 316 ) v tis. Eur</t>
  </si>
  <si>
    <t>stav k 31_12_2013</t>
  </si>
  <si>
    <t>stav k 31_12_2014</t>
  </si>
  <si>
    <t>nárast (+); pokles (-)</t>
  </si>
  <si>
    <t>zníženie (-), nárast (+) pohľadávok oproti stavu k 31_12_2013 o...%</t>
  </si>
  <si>
    <t>Bratislava</t>
  </si>
  <si>
    <t>Martin</t>
  </si>
  <si>
    <t>Nové Zámky</t>
  </si>
  <si>
    <t>Levice</t>
  </si>
  <si>
    <t>Považská Bystrica</t>
  </si>
  <si>
    <t>Komárno</t>
  </si>
  <si>
    <t>Dunajská Streda</t>
  </si>
  <si>
    <t>Galanta</t>
  </si>
  <si>
    <t>Poprad</t>
  </si>
  <si>
    <t>Michalovce</t>
  </si>
  <si>
    <t>Stará Ľubovňa</t>
  </si>
  <si>
    <t>Rožňava</t>
  </si>
  <si>
    <t>Veľký Krtíš</t>
  </si>
  <si>
    <t>Senica</t>
  </si>
  <si>
    <t>Žilina</t>
  </si>
  <si>
    <t>Banská Bystrica</t>
  </si>
  <si>
    <t>Nitra</t>
  </si>
  <si>
    <t>Trenčín</t>
  </si>
  <si>
    <t>Košice</t>
  </si>
  <si>
    <t>Humenné</t>
  </si>
  <si>
    <t>Prešov</t>
  </si>
  <si>
    <t>Liptovský Mikuláš</t>
  </si>
  <si>
    <t>Čadca</t>
  </si>
  <si>
    <t>Spišská Nová Ves</t>
  </si>
  <si>
    <t>Prievidza</t>
  </si>
  <si>
    <t>Vranov nad Topľou</t>
  </si>
  <si>
    <t>Svidník</t>
  </si>
  <si>
    <t>Trebišov</t>
  </si>
  <si>
    <t>Dolný Kubín</t>
  </si>
  <si>
    <t>Žiar nad Hronom</t>
  </si>
  <si>
    <t>Trnava</t>
  </si>
  <si>
    <t>Topoľčany</t>
  </si>
  <si>
    <t>Bardejov</t>
  </si>
  <si>
    <t>Lučenec</t>
  </si>
  <si>
    <t>Zvolen</t>
  </si>
  <si>
    <t>Rimavská Sobota</t>
  </si>
  <si>
    <t>SP pobočky</t>
  </si>
  <si>
    <t xml:space="preserve">Ústredie </t>
  </si>
  <si>
    <t>SP spolu</t>
  </si>
  <si>
    <t>Prehľad pohľadávok Sociálnej poisťovne podľa spôsobov vymáhania v tis. EUR</t>
  </si>
  <si>
    <t>pohľadávky spolu k 31.12.2014</t>
  </si>
  <si>
    <t>Podiel</t>
  </si>
  <si>
    <t>Konkurzy</t>
  </si>
  <si>
    <t>Vyrovnanie reštrukturalizácia</t>
  </si>
  <si>
    <t>Likvidácia</t>
  </si>
  <si>
    <t xml:space="preserve">Dedičské konanie  </t>
  </si>
  <si>
    <t>Exekúcie</t>
  </si>
  <si>
    <t>Povolené splátky  dlžných súm</t>
  </si>
  <si>
    <t xml:space="preserve">Mandátna správa  </t>
  </si>
  <si>
    <t>Iné spôsoby vymáhania</t>
  </si>
  <si>
    <t>Okrem vymáhaných pohľadávok eviduje Sociálna poisťovňa</t>
  </si>
  <si>
    <t>V celkových pohľadávkach:</t>
  </si>
  <si>
    <t>Pohľadávky voči zdravotníckym zariadeniam - nevymáhané (poistné+penále)</t>
  </si>
  <si>
    <t>Pohľadávky po ukončení vymáhania</t>
  </si>
  <si>
    <t>Pohľadávky pred začatím vymáhania</t>
  </si>
  <si>
    <t xml:space="preserve">pohľadávky na poistnom na základe výkazu, prihlášky evidované v účtovníctve (aj pred lehotou splatnosti) </t>
  </si>
  <si>
    <t>pohľadávky na poistnom v nezamestnanosti evidovaných voči krajinám EÚ</t>
  </si>
  <si>
    <t>Opravné položky k pohľadávkam Sociálnej poisťovne k 31.12.2014</t>
  </si>
  <si>
    <t>stav k 1.1.2014</t>
  </si>
  <si>
    <t>stav k 31.12.2014</t>
  </si>
  <si>
    <t>rozdiel 12_14 a 1_14</t>
  </si>
  <si>
    <t xml:space="preserve">Košice </t>
  </si>
  <si>
    <t>Liptovský  Mikuláš</t>
  </si>
  <si>
    <t>Vranov n.T.</t>
  </si>
  <si>
    <t>exekúcie podané v roku 2014</t>
  </si>
  <si>
    <t>počet rozhodnutí</t>
  </si>
  <si>
    <t>výška vymáhanej pohľadávky v exekučnom konaní v tis. Eur</t>
  </si>
  <si>
    <t>úhrady v tis. Eur</t>
  </si>
  <si>
    <t>k 31.1.2014</t>
  </si>
  <si>
    <t>k 28.2.2014</t>
  </si>
  <si>
    <t>k 31.3.2014</t>
  </si>
  <si>
    <t>k 30.4.2014</t>
  </si>
  <si>
    <t>k 31.5.2014</t>
  </si>
  <si>
    <t>k 30.6.2014</t>
  </si>
  <si>
    <t>k 31.7.2014</t>
  </si>
  <si>
    <t>k 31.8.2014</t>
  </si>
  <si>
    <t>k 30.9.2014</t>
  </si>
  <si>
    <t>k 31.10.2014</t>
  </si>
  <si>
    <t>k 30.11.2014</t>
  </si>
  <si>
    <t>k 31.12.2014</t>
  </si>
  <si>
    <t xml:space="preserve">Prehľad pohľadávok vymáhaných prostredníctvom mandátnej správy spoločnosťou General Factoring a. s. </t>
  </si>
  <si>
    <t>sumárny prehľad prevedených pohľadávok do mandátnej správy a  akceptovaných úhrad od 01. 01. 2014 do 31.12. 2014</t>
  </si>
  <si>
    <t>spolu prevedené     (suma tis. EUR)</t>
  </si>
  <si>
    <t>spolu akceptované  (suma tis. EUR)</t>
  </si>
  <si>
    <t>sumárny prehľad rok 2014</t>
  </si>
  <si>
    <t>prevedené pohľadávky do MS v roku 2014 a akceptované úhrady ku konkrétnym sumárnym zoznamom v roku 2014</t>
  </si>
  <si>
    <t>sumárny zoznam č.</t>
  </si>
  <si>
    <t>spolu</t>
  </si>
  <si>
    <t>012014</t>
  </si>
  <si>
    <t>022014</t>
  </si>
  <si>
    <t>032014</t>
  </si>
  <si>
    <t>042014</t>
  </si>
  <si>
    <t>052014</t>
  </si>
  <si>
    <t>062014</t>
  </si>
  <si>
    <t>072014</t>
  </si>
  <si>
    <t>082014</t>
  </si>
  <si>
    <t>092014</t>
  </si>
  <si>
    <t>102014</t>
  </si>
  <si>
    <t>112014</t>
  </si>
  <si>
    <t>122014</t>
  </si>
  <si>
    <t>prevedené</t>
  </si>
  <si>
    <t>počet</t>
  </si>
  <si>
    <t>suma tis. EUR</t>
  </si>
  <si>
    <t>akceptované</t>
  </si>
  <si>
    <t>prehľad rok 2014 po sumárnych zoznamoch</t>
  </si>
  <si>
    <t>Vydané rozhodnutia o povolení splátok dlžných súm v roku 2014</t>
  </si>
  <si>
    <t>stav k</t>
  </si>
  <si>
    <t>počet povolených splátkových kalendárov</t>
  </si>
  <si>
    <t>suma  na ktorú boli vydané rozhodnutia o povolení splátok dlžných súm (tis. Eur)</t>
  </si>
  <si>
    <t>Celková vymožená suma    (tis. Eur)</t>
  </si>
  <si>
    <t>Stav pohľadávok  podľa pobočiek Sociálnej poisťovne a zdravotníckych zariadení k 31.decembru 2014 (v tis. EUR)</t>
  </si>
  <si>
    <t>Typ zdravotníckeho zariadenia</t>
  </si>
  <si>
    <t>Forma zdravotníckeho zariadenia (S/V)</t>
  </si>
  <si>
    <t>Názov zdravotníckeho zariadenia, sídlo</t>
  </si>
  <si>
    <t>IČO</t>
  </si>
  <si>
    <t>Pohľadávka na                     poistnom                                k 30. novembru 2014</t>
  </si>
  <si>
    <t>Pohľadávka na                     poistnom                                k 31. decembru 2014</t>
  </si>
  <si>
    <t>Rozdiel pohľadávky na                              poistnom                       12_ 2014 - 11_2014</t>
  </si>
  <si>
    <t>S</t>
  </si>
  <si>
    <t>Fakultná nemocnica s poliklinikou F. D. Roosevelta Banská Bystrica</t>
  </si>
  <si>
    <t>00165549</t>
  </si>
  <si>
    <t>Detská fakultná nemocnica s poliklinikou Bratislava</t>
  </si>
  <si>
    <t>00607231</t>
  </si>
  <si>
    <t>Univerzitná nemocnica Bratislava</t>
  </si>
  <si>
    <t>Fakultná nemocnica Trnava</t>
  </si>
  <si>
    <t>00610381</t>
  </si>
  <si>
    <t>Národná transfúzna služba SR, Bratislava</t>
  </si>
  <si>
    <t>V</t>
  </si>
  <si>
    <t>Kysucká nemocnica s poliklinikou Čadca</t>
  </si>
  <si>
    <t>Dolnooravská nemocnica s poliklinikou MUDr. L. N. Jégého Dolný Kubín</t>
  </si>
  <si>
    <t>00634905</t>
  </si>
  <si>
    <t>Nemocnica s poliklinikou Dunajská Streda, a.s.</t>
  </si>
  <si>
    <t>Liptovská nemocnica s poliklinikou MUDr. Ivana Stodolu Liptovský Mikuláš</t>
  </si>
  <si>
    <t>Nemocnica s poliklinikou v Považskej Bystrici</t>
  </si>
  <si>
    <t>00610411</t>
  </si>
  <si>
    <t>Nemocnica s poliklinikou Prievidza so sídlom v Bojniciach</t>
  </si>
  <si>
    <t>Nemocnica s poliklinikou Myjava</t>
  </si>
  <si>
    <t>00610721</t>
  </si>
  <si>
    <t>Mestská nemocnica Prof. MUDr. Rudolfa Korca, DrSc. Zlaté Moravce</t>
  </si>
  <si>
    <t>Sanatórium Tatranská Kotlina n.o.</t>
  </si>
  <si>
    <t>Nemocnica s poliklinikou Ilava, n.o.</t>
  </si>
  <si>
    <t>36119385</t>
  </si>
  <si>
    <t>Nemocnica s poliklinikou Nové Mesto nad Váhom, n.o.</t>
  </si>
  <si>
    <t>Nemocnica A. Wintera n.o. Piešťany</t>
  </si>
  <si>
    <t>Všeobecná nemocnica s poliklinikou, n.o., Veľký Krtíš</t>
  </si>
  <si>
    <t>Revúcka medicínsko-humanitná, n.o., Revúca</t>
  </si>
  <si>
    <t>ZZ zostávajúce v pôsobnosti MZ SR - Fakultné nemocnice</t>
  </si>
  <si>
    <t>ZZ zostávajúce v pôsobnosti MZ SR - Vysokošpecializované odborné ústavy</t>
  </si>
  <si>
    <t>ZZ zostávajúce v pôsobnosti MZ SR - Nemocnice s poliklinikou III. typu</t>
  </si>
  <si>
    <t>ZZ zostávajúce v pôsobnosti MZ SR - Psychiatrické nemocnice</t>
  </si>
  <si>
    <t>ZZ zostávajúce v pôsobnosti MZ SR - Psychiatrické liečebne</t>
  </si>
  <si>
    <t>ZZ zostávajúce v pôsobnosti MZ SR - Odborné liečebne ústavy</t>
  </si>
  <si>
    <t>ZZ zostávajúce v pôsobnosti MZ SR - Iné zariadenia</t>
  </si>
  <si>
    <t>ZZ prechádzajúce na VÚC - Nemocnice s poliklinikou II. typu</t>
  </si>
  <si>
    <t>ZZ prechádzajúce na VÚC - Polikliniky prechádzajúce na VÚC</t>
  </si>
  <si>
    <t>ZZ prechádzajúce na obce a mestá</t>
  </si>
  <si>
    <t>ZZ transformované na neziskové organizácie</t>
  </si>
  <si>
    <t xml:space="preserve">Novovzniknutá nezisková organizácia </t>
  </si>
  <si>
    <t>Rozpočtová organizácia vytvorená VÚC za účelom prevzatia pohľadávok ZZ</t>
  </si>
  <si>
    <t>ZZ v pôsobnosti MZ SR</t>
  </si>
  <si>
    <t xml:space="preserve">ZZ prechádzajúce na VÚC, obce a mestá, neziskové organizácie </t>
  </si>
  <si>
    <t xml:space="preserve">Stav pohľadávok (v tis. EUR) podľa pobočiek Sociálnej poisťovne a zdravotníckych zariadení k 31. decembru 2014 </t>
  </si>
  <si>
    <t>Typ ZZ</t>
  </si>
  <si>
    <t>Forma ZZ (S/V)</t>
  </si>
  <si>
    <t>Platenie bežného poistného</t>
  </si>
  <si>
    <t>Pohľadávka na poistnom k 31.12.2014</t>
  </si>
  <si>
    <t>Spôsob zabezpečenia pohľadávky</t>
  </si>
  <si>
    <t>Dátum zriadenia záložného práva</t>
  </si>
  <si>
    <t>Suma na ktorú bolo záložné právo zriadené</t>
  </si>
  <si>
    <t>vyhodnotenie generálneho pardonu 2008</t>
  </si>
  <si>
    <t>zaplatené poistné v súvislosti s uznesením vlády SR č. 698/2012</t>
  </si>
  <si>
    <t>novopredpí- sané penále</t>
  </si>
  <si>
    <t>celkom odpustené penále v rámci GP</t>
  </si>
  <si>
    <t>dátum posúdenia splnenia podmienky pre GP</t>
  </si>
  <si>
    <t>zaplatené dlžné poistné v súvislosti GP</t>
  </si>
  <si>
    <t>C</t>
  </si>
  <si>
    <t>Nemocnica s poliklinikou Sv. Jakuba, n.o., Bardejov</t>
  </si>
  <si>
    <t>A</t>
  </si>
  <si>
    <t>Oravská poliklinika Námestovo</t>
  </si>
  <si>
    <t>00634875</t>
  </si>
  <si>
    <t>Nemocnica s poliklinikou Dunajská Streda</t>
  </si>
  <si>
    <t>X</t>
  </si>
  <si>
    <t>Nemocnica s poliklinikou Sv. Lukáša Galanta</t>
  </si>
  <si>
    <t>00610291</t>
  </si>
  <si>
    <t>Nemocnica s poliklinikou A. Leňa Humenné</t>
  </si>
  <si>
    <t>00610658</t>
  </si>
  <si>
    <t>Mestská poliklinika Hurbanovo</t>
  </si>
  <si>
    <t>17335647</t>
  </si>
  <si>
    <t>Univerzitná nemocnica L. Pasteura, Košice</t>
  </si>
  <si>
    <t>00606707</t>
  </si>
  <si>
    <t>Záchranná služba Košice</t>
  </si>
  <si>
    <t>00606731</t>
  </si>
  <si>
    <t>Nemocnica s poliklinikou Želiezovce</t>
  </si>
  <si>
    <t>00610283</t>
  </si>
  <si>
    <t>Mesto Šahy (prevzaté od NsP Šahy, IČO: 00610275)</t>
  </si>
  <si>
    <t>00307513</t>
  </si>
  <si>
    <t>Psychiatrická nemocnica Hronovce</t>
  </si>
  <si>
    <t>00607266</t>
  </si>
  <si>
    <t>Nemocnica s poliklinikou Štefana Kukuru v Michalovciach, n.o.</t>
  </si>
  <si>
    <t>Psychiatrická nemocnica Michalovce, n.o.</t>
  </si>
  <si>
    <t>Fakultná nemocnica Nitra</t>
  </si>
  <si>
    <t>N</t>
  </si>
  <si>
    <t>Mestská poliklinika Šurany</t>
  </si>
  <si>
    <t>Poliklinika Štúrovo</t>
  </si>
  <si>
    <t>zmluvné záložné právo</t>
  </si>
  <si>
    <t>Nemocnica s poliklinikou Rimavská Sobota</t>
  </si>
  <si>
    <t>00610615</t>
  </si>
  <si>
    <t>Nemocnica s poliklinikou Hnúšťa</t>
  </si>
  <si>
    <t>00610631</t>
  </si>
  <si>
    <t xml:space="preserve">Nemocnica s poliklinikou sv. Barbory Rožňava, a. s.                                                                                                                                                                                         </t>
  </si>
  <si>
    <t>Psychiatrická liečebňa Samuela Bluma Plešivec</t>
  </si>
  <si>
    <t>Poliklinika Tornaľa</t>
  </si>
  <si>
    <t>00610640</t>
  </si>
  <si>
    <t xml:space="preserve">Odborný liečebný ústav psychiatrický, n.o. Predná Hora </t>
  </si>
  <si>
    <t>37954920</t>
  </si>
  <si>
    <t>Nemocnica s poliklinikou, Spišská Nová Ves</t>
  </si>
  <si>
    <t>00610534</t>
  </si>
  <si>
    <t>Ľubovnianska nemocnica, n.o., Stará Ľubovňa</t>
  </si>
  <si>
    <t>Nemocnica s poliklinikou Trebišov</t>
  </si>
  <si>
    <t>Nemocnica s poliklinikou Trebišov a.s.</t>
  </si>
  <si>
    <t>Vranovská nemocnica, n.o., Vranov nad Topľou</t>
  </si>
  <si>
    <t>Regionálna nemocnica Banská Štiavnica, n.o.</t>
  </si>
  <si>
    <t>Detská ozdravovňa, Kremnické Bane</t>
  </si>
  <si>
    <t>Názov, sídlo</t>
  </si>
  <si>
    <t>Správa záväzkov a pohľadávok, Nitra (prevzaté od Nemocnice s poliklinikou Levice, IČO: 00610267)</t>
  </si>
  <si>
    <t>Správa záväzkov a pohľadávok, Košice (prevzaté od Nemocnice s poliklinikou Š.Kukuru Michalovce, IČO:17335663)</t>
  </si>
  <si>
    <t>Správa záväzkov a pohľadávok, Košice (prevzaté od Nemocnicu s poliklinikou svätej Barbory, Rožňava, IČO: 17335922)</t>
  </si>
  <si>
    <t>Legenda:</t>
  </si>
  <si>
    <t>- platí</t>
  </si>
  <si>
    <t>- čiastočne (za zamestnancov)</t>
  </si>
  <si>
    <t>- neplatí</t>
  </si>
  <si>
    <t>- ukončená registrácia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</si>
</sst>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E_U_R_-;\-* #,##0\ _E_U_R_-;_-* &quot;-&quot;\ _E_U_R_-;_-@_-"/>
    <numFmt numFmtId="44" formatCode="_-* #,##0.00\ &quot;EUR&quot;_-;\-* #,##0.00\ &quot;EUR&quot;_-;_-* &quot;-&quot;??\ &quot;EUR&quot;_-;_-@_-"/>
    <numFmt numFmtId="43" formatCode="_-* #,##0.00\ _E_U_R_-;\-* #,##0.00\ _E_U_R_-;_-* &quot;-&quot;??\ _E_U_R_-;_-@_-"/>
    <numFmt numFmtId="164" formatCode="_-* #,##0.00\ _S_k_-;\-* #,##0.00\ _S_k_-;_-* &quot;-&quot;??\ _S_k_-;_-@_-"/>
    <numFmt numFmtId="165" formatCode="&quot;$&quot;#,##0;[Red]\-&quot;$&quot;#,##0"/>
    <numFmt numFmtId="166" formatCode="m\o\n\th\ d\,\ \y\y\y\y"/>
    <numFmt numFmtId="167" formatCode=";;"/>
    <numFmt numFmtId="168" formatCode="_-* #,##0.00\ [$€-1]_-;\-* #,##0.00\ [$€-1]_-;_-* &quot;-&quot;??\ [$€-1]_-"/>
    <numFmt numFmtId="169" formatCode="_(* #,##0.00_);_(* \(#,##0.00\);_(* &quot;-&quot;??_);_(@_)"/>
    <numFmt numFmtId="170" formatCode="#,##0\ _S_k"/>
    <numFmt numFmtId="171" formatCode="#,##0.00_ ;\-#,##0.00\ "/>
    <numFmt numFmtId="172" formatCode="_-* #,##0\ _S_k_-;\-* #,##0\ _S_k_-;_-* &quot;-&quot;\ _S_k_-;_-@_-"/>
    <numFmt numFmtId="173" formatCode="#,##0;\-#,##0;&quot; &quot;"/>
    <numFmt numFmtId="174" formatCode="#,##0.00;\-#,##0.00;&quot; &quot;"/>
    <numFmt numFmtId="175" formatCode="#,##0_ ;\-#,##0\ "/>
    <numFmt numFmtId="176" formatCode="_-* #,##0\ _E_U_R_-;\-* #,##0\ _E_U_R_-;_-* &quot;-&quot;??\ _E_U_R_-;_-@_-"/>
    <numFmt numFmtId="177" formatCode="_-* #,##0\ _S_k_-;\-* #,##0\ _S_k_-;_-* &quot;-&quot;??\ _S_k_-;_-@_-"/>
    <numFmt numFmtId="178" formatCode="#,##0.00000"/>
    <numFmt numFmtId="179" formatCode="#,##0.0000"/>
    <numFmt numFmtId="180" formatCode="#,##0.00_ ;[Red]\-#,##0.00\ "/>
    <numFmt numFmtId="181" formatCode="0.0%"/>
    <numFmt numFmtId="182" formatCode="#,##0_ ;[Red]\-#,##0\ "/>
  </numFmts>
  <fonts count="14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sz val="11"/>
      <color indexed="17"/>
      <name val="Calibri"/>
      <family val="2"/>
      <charset val="238"/>
    </font>
    <font>
      <b/>
      <sz val="1"/>
      <color indexed="8"/>
      <name val="Courier"/>
      <family val="3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2"/>
      <name val="Arial CE"/>
      <family val="2"/>
      <charset val="238"/>
    </font>
    <font>
      <sz val="11"/>
      <color indexed="60"/>
      <name val="Calibri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1"/>
      <color indexed="52"/>
      <name val="Calibri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i/>
      <u/>
      <sz val="24"/>
      <name val="Times New Roman CE"/>
      <family val="1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rgb="FF3F3F3F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sz val="11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i/>
      <sz val="11"/>
      <name val="Arial CE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sz val="10"/>
      <color rgb="FF009900"/>
      <name val="Arial"/>
      <family val="2"/>
      <charset val="238"/>
    </font>
    <font>
      <b/>
      <sz val="10"/>
      <name val="Arial CE"/>
    </font>
    <font>
      <sz val="10"/>
      <name val="Arial CE"/>
    </font>
    <font>
      <b/>
      <sz val="10"/>
      <name val="Arial CE"/>
      <charset val="238"/>
    </font>
    <font>
      <b/>
      <sz val="12"/>
      <color indexed="10"/>
      <name val="Arial"/>
      <family val="2"/>
      <charset val="238"/>
    </font>
    <font>
      <b/>
      <sz val="10"/>
      <name val="Arial"/>
      <family val="2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8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9">
    <xf numFmtId="0" fontId="0" fillId="0" borderId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5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3" fontId="39" fillId="0" borderId="0"/>
    <xf numFmtId="3" fontId="40" fillId="0" borderId="0"/>
    <xf numFmtId="38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6" fontId="42" fillId="0" borderId="0">
      <protection locked="0"/>
    </xf>
    <xf numFmtId="0" fontId="43" fillId="4" borderId="0" applyNumberFormat="0" applyBorder="0" applyAlignment="0" applyProtection="0"/>
    <xf numFmtId="168" fontId="32" fillId="0" borderId="0" applyFont="0" applyFill="0" applyBorder="0" applyAlignment="0" applyProtection="0"/>
    <xf numFmtId="167" fontId="42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5" fillId="16" borderId="1" applyNumberFormat="0" applyAlignment="0" applyProtection="0"/>
    <xf numFmtId="0" fontId="46" fillId="0" borderId="2" applyNumberFormat="0" applyFill="0" applyAlignment="0" applyProtection="0"/>
    <xf numFmtId="0" fontId="47" fillId="0" borderId="3" applyNumberFormat="0" applyFill="0" applyAlignment="0" applyProtection="0"/>
    <xf numFmtId="0" fontId="48" fillId="0" borderId="4" applyNumberFormat="0" applyFill="0" applyAlignment="0" applyProtection="0"/>
    <xf numFmtId="0" fontId="48" fillId="0" borderId="0" applyNumberFormat="0" applyFill="0" applyBorder="0" applyAlignment="0" applyProtection="0"/>
    <xf numFmtId="2" fontId="49" fillId="0" borderId="0"/>
    <xf numFmtId="0" fontId="50" fillId="17" borderId="0" applyNumberFormat="0" applyBorder="0" applyAlignment="0" applyProtection="0"/>
    <xf numFmtId="0" fontId="32" fillId="0" borderId="0"/>
    <xf numFmtId="0" fontId="33" fillId="0" borderId="0"/>
    <xf numFmtId="0" fontId="35" fillId="0" borderId="0"/>
    <xf numFmtId="0" fontId="51" fillId="0" borderId="0"/>
    <xf numFmtId="0" fontId="52" fillId="0" borderId="0"/>
    <xf numFmtId="0" fontId="32" fillId="0" borderId="0"/>
    <xf numFmtId="0" fontId="35" fillId="0" borderId="0"/>
    <xf numFmtId="0" fontId="33" fillId="0" borderId="0"/>
    <xf numFmtId="0" fontId="41" fillId="0" borderId="0"/>
    <xf numFmtId="0" fontId="40" fillId="0" borderId="0"/>
    <xf numFmtId="0" fontId="35" fillId="18" borderId="5" applyNumberFormat="0" applyFont="0" applyAlignment="0" applyProtection="0"/>
    <xf numFmtId="0" fontId="53" fillId="0" borderId="6" applyNumberFormat="0" applyFill="0" applyAlignment="0" applyProtection="0"/>
    <xf numFmtId="49" fontId="54" fillId="0" borderId="0"/>
    <xf numFmtId="0" fontId="55" fillId="0" borderId="7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2" fillId="0" borderId="8">
      <protection locked="0"/>
    </xf>
    <xf numFmtId="0" fontId="58" fillId="0" borderId="0"/>
    <xf numFmtId="0" fontId="59" fillId="7" borderId="9" applyNumberFormat="0" applyAlignment="0" applyProtection="0"/>
    <xf numFmtId="0" fontId="60" fillId="19" borderId="9" applyNumberFormat="0" applyAlignment="0" applyProtection="0"/>
    <xf numFmtId="0" fontId="61" fillId="19" borderId="10" applyNumberFormat="0" applyAlignment="0" applyProtection="0"/>
    <xf numFmtId="0" fontId="62" fillId="0" borderId="0" applyNumberFormat="0" applyFill="0" applyBorder="0" applyAlignment="0" applyProtection="0"/>
    <xf numFmtId="0" fontId="63" fillId="3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23" borderId="0" applyNumberFormat="0" applyBorder="0" applyAlignment="0" applyProtection="0"/>
    <xf numFmtId="164" fontId="32" fillId="0" borderId="0" applyFont="0" applyFill="0" applyBorder="0" applyAlignment="0" applyProtection="0"/>
    <xf numFmtId="0" fontId="32" fillId="0" borderId="0"/>
    <xf numFmtId="0" fontId="31" fillId="0" borderId="0"/>
    <xf numFmtId="164" fontId="64" fillId="0" borderId="0" applyFont="0" applyFill="0" applyBorder="0" applyAlignment="0" applyProtection="0"/>
    <xf numFmtId="0" fontId="30" fillId="0" borderId="0"/>
    <xf numFmtId="164" fontId="65" fillId="0" borderId="0" applyFont="0" applyFill="0" applyBorder="0" applyAlignment="0" applyProtection="0"/>
    <xf numFmtId="0" fontId="29" fillId="0" borderId="0"/>
    <xf numFmtId="164" fontId="66" fillId="0" borderId="0" applyFont="0" applyFill="0" applyBorder="0" applyAlignment="0" applyProtection="0"/>
    <xf numFmtId="0" fontId="28" fillId="0" borderId="0"/>
    <xf numFmtId="164" fontId="67" fillId="0" borderId="0" applyFont="0" applyFill="0" applyBorder="0" applyAlignment="0" applyProtection="0"/>
    <xf numFmtId="0" fontId="36" fillId="0" borderId="0"/>
    <xf numFmtId="164" fontId="68" fillId="0" borderId="0" applyFont="0" applyFill="0" applyBorder="0" applyAlignment="0" applyProtection="0"/>
    <xf numFmtId="0" fontId="27" fillId="0" borderId="0"/>
    <xf numFmtId="0" fontId="32" fillId="0" borderId="0"/>
    <xf numFmtId="0" fontId="26" fillId="0" borderId="0"/>
    <xf numFmtId="9" fontId="32" fillId="0" borderId="0" applyFont="0" applyFill="0" applyBorder="0" applyAlignment="0" applyProtection="0"/>
    <xf numFmtId="0" fontId="35" fillId="0" borderId="0"/>
    <xf numFmtId="0" fontId="25" fillId="0" borderId="0"/>
    <xf numFmtId="0" fontId="24" fillId="0" borderId="0"/>
    <xf numFmtId="0" fontId="23" fillId="0" borderId="0"/>
    <xf numFmtId="0" fontId="32" fillId="0" borderId="0"/>
    <xf numFmtId="0" fontId="3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71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71" fillId="27" borderId="0" applyNumberFormat="0" applyBorder="0" applyAlignment="0" applyProtection="0"/>
    <xf numFmtId="0" fontId="7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71" fillId="31" borderId="0" applyNumberFormat="0" applyBorder="0" applyAlignment="0" applyProtection="0"/>
    <xf numFmtId="0" fontId="71" fillId="32" borderId="0" applyNumberFormat="0" applyBorder="0" applyAlignment="0" applyProtection="0"/>
    <xf numFmtId="0" fontId="71" fillId="33" borderId="0" applyNumberFormat="0" applyBorder="0" applyAlignment="0" applyProtection="0"/>
    <xf numFmtId="0" fontId="71" fillId="34" borderId="0" applyNumberFormat="0" applyBorder="0" applyAlignment="0" applyProtection="0"/>
    <xf numFmtId="0" fontId="71" fillId="35" borderId="0" applyNumberFormat="0" applyBorder="0" applyAlignment="0" applyProtection="0"/>
    <xf numFmtId="0" fontId="72" fillId="36" borderId="0" applyNumberFormat="0" applyBorder="0" applyAlignment="0" applyProtection="0"/>
    <xf numFmtId="0" fontId="72" fillId="37" borderId="0" applyNumberFormat="0" applyBorder="0" applyAlignment="0" applyProtection="0"/>
    <xf numFmtId="0" fontId="72" fillId="38" borderId="0" applyNumberFormat="0" applyBorder="0" applyAlignment="0" applyProtection="0"/>
    <xf numFmtId="0" fontId="72" fillId="39" borderId="0" applyNumberFormat="0" applyBorder="0" applyAlignment="0" applyProtection="0"/>
    <xf numFmtId="0" fontId="72" fillId="40" borderId="0" applyNumberFormat="0" applyBorder="0" applyAlignment="0" applyProtection="0"/>
    <xf numFmtId="0" fontId="72" fillId="41" borderId="0" applyNumberFormat="0" applyBorder="0" applyAlignment="0" applyProtection="0"/>
    <xf numFmtId="0" fontId="73" fillId="42" borderId="0" applyNumberFormat="0" applyBorder="0" applyAlignment="0" applyProtection="0"/>
    <xf numFmtId="0" fontId="74" fillId="43" borderId="18" applyNumberFormat="0" applyAlignment="0" applyProtection="0"/>
    <xf numFmtId="0" fontId="75" fillId="0" borderId="19" applyNumberFormat="0" applyFill="0" applyAlignment="0" applyProtection="0"/>
    <xf numFmtId="0" fontId="76" fillId="0" borderId="20" applyNumberFormat="0" applyFill="0" applyAlignment="0" applyProtection="0"/>
    <xf numFmtId="0" fontId="77" fillId="0" borderId="21" applyNumberFormat="0" applyFill="0" applyAlignment="0" applyProtection="0"/>
    <xf numFmtId="0" fontId="77" fillId="0" borderId="0" applyNumberFormat="0" applyFill="0" applyBorder="0" applyAlignment="0" applyProtection="0"/>
    <xf numFmtId="0" fontId="78" fillId="44" borderId="0" applyNumberFormat="0" applyBorder="0" applyAlignment="0" applyProtection="0"/>
    <xf numFmtId="0" fontId="71" fillId="45" borderId="22" applyNumberFormat="0" applyFont="0" applyAlignment="0" applyProtection="0"/>
    <xf numFmtId="0" fontId="79" fillId="0" borderId="23" applyNumberFormat="0" applyFill="0" applyAlignment="0" applyProtection="0"/>
    <xf numFmtId="0" fontId="80" fillId="0" borderId="24" applyNumberFormat="0" applyFill="0" applyAlignment="0" applyProtection="0"/>
    <xf numFmtId="0" fontId="81" fillId="0" borderId="0" applyNumberFormat="0" applyFill="0" applyBorder="0" applyAlignment="0" applyProtection="0"/>
    <xf numFmtId="0" fontId="82" fillId="46" borderId="25" applyNumberFormat="0" applyAlignment="0" applyProtection="0"/>
    <xf numFmtId="0" fontId="83" fillId="47" borderId="25" applyNumberFormat="0" applyAlignment="0" applyProtection="0"/>
    <xf numFmtId="0" fontId="84" fillId="47" borderId="26" applyNumberFormat="0" applyAlignment="0" applyProtection="0"/>
    <xf numFmtId="0" fontId="85" fillId="0" borderId="0" applyNumberFormat="0" applyFill="0" applyBorder="0" applyAlignment="0" applyProtection="0"/>
    <xf numFmtId="0" fontId="86" fillId="48" borderId="0" applyNumberFormat="0" applyBorder="0" applyAlignment="0" applyProtection="0"/>
    <xf numFmtId="0" fontId="72" fillId="49" borderId="0" applyNumberFormat="0" applyBorder="0" applyAlignment="0" applyProtection="0"/>
    <xf numFmtId="0" fontId="72" fillId="50" borderId="0" applyNumberFormat="0" applyBorder="0" applyAlignment="0" applyProtection="0"/>
    <xf numFmtId="0" fontId="72" fillId="51" borderId="0" applyNumberFormat="0" applyBorder="0" applyAlignment="0" applyProtection="0"/>
    <xf numFmtId="0" fontId="72" fillId="52" borderId="0" applyNumberFormat="0" applyBorder="0" applyAlignment="0" applyProtection="0"/>
    <xf numFmtId="0" fontId="72" fillId="53" borderId="0" applyNumberFormat="0" applyBorder="0" applyAlignment="0" applyProtection="0"/>
    <xf numFmtId="0" fontId="72" fillId="54" borderId="0" applyNumberFormat="0" applyBorder="0" applyAlignment="0" applyProtection="0"/>
    <xf numFmtId="9" fontId="32" fillId="0" borderId="0" applyFont="0" applyFill="0" applyBorder="0" applyAlignment="0" applyProtection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9" fontId="87" fillId="0" borderId="0" applyFont="0" applyFill="0" applyBorder="0" applyAlignment="0" applyProtection="0"/>
    <xf numFmtId="0" fontId="88" fillId="0" borderId="0"/>
    <xf numFmtId="0" fontId="32" fillId="0" borderId="0"/>
    <xf numFmtId="9" fontId="88" fillId="0" borderId="0" applyFont="0" applyFill="0" applyBorder="0" applyAlignment="0" applyProtection="0"/>
    <xf numFmtId="0" fontId="89" fillId="0" borderId="0"/>
    <xf numFmtId="169" fontId="89" fillId="0" borderId="0" applyFont="0" applyFill="0" applyBorder="0" applyAlignment="0" applyProtection="0"/>
    <xf numFmtId="0" fontId="90" fillId="0" borderId="0"/>
    <xf numFmtId="0" fontId="35" fillId="0" borderId="0"/>
    <xf numFmtId="0" fontId="91" fillId="0" borderId="0"/>
    <xf numFmtId="0" fontId="32" fillId="0" borderId="0"/>
    <xf numFmtId="0" fontId="92" fillId="0" borderId="0"/>
    <xf numFmtId="169" fontId="92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94" fillId="0" borderId="0"/>
    <xf numFmtId="0" fontId="9" fillId="45" borderId="22" applyNumberFormat="0" applyFont="0" applyAlignment="0" applyProtection="0"/>
    <xf numFmtId="0" fontId="8" fillId="0" borderId="0"/>
    <xf numFmtId="0" fontId="7" fillId="0" borderId="0"/>
    <xf numFmtId="0" fontId="6" fillId="0" borderId="0"/>
    <xf numFmtId="0" fontId="35" fillId="0" borderId="0"/>
    <xf numFmtId="0" fontId="5" fillId="0" borderId="0"/>
    <xf numFmtId="0" fontId="32" fillId="0" borderId="0"/>
    <xf numFmtId="0" fontId="32" fillId="0" borderId="0"/>
    <xf numFmtId="0" fontId="4" fillId="0" borderId="0"/>
    <xf numFmtId="0" fontId="101" fillId="0" borderId="0"/>
    <xf numFmtId="0" fontId="3" fillId="0" borderId="0"/>
    <xf numFmtId="0" fontId="102" fillId="0" borderId="0"/>
    <xf numFmtId="0" fontId="2" fillId="0" borderId="0"/>
    <xf numFmtId="0" fontId="32" fillId="0" borderId="0"/>
    <xf numFmtId="44" fontId="107" fillId="0" borderId="0" applyFont="0" applyFill="0" applyBorder="0" applyAlignment="0" applyProtection="0"/>
    <xf numFmtId="0" fontId="32" fillId="0" borderId="0"/>
    <xf numFmtId="0" fontId="36" fillId="0" borderId="0"/>
    <xf numFmtId="0" fontId="35" fillId="0" borderId="0"/>
    <xf numFmtId="0" fontId="35" fillId="0" borderId="0"/>
    <xf numFmtId="0" fontId="1" fillId="0" borderId="0"/>
    <xf numFmtId="169" fontId="3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5" fillId="0" borderId="0"/>
    <xf numFmtId="0" fontId="32" fillId="0" borderId="0"/>
  </cellStyleXfs>
  <cellXfs count="942">
    <xf numFmtId="0" fontId="0" fillId="0" borderId="0" xfId="0"/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15" xfId="0" applyFont="1" applyFill="1" applyBorder="1" applyAlignment="1"/>
    <xf numFmtId="0" fontId="32" fillId="0" borderId="16" xfId="0" applyFont="1" applyFill="1" applyBorder="1" applyAlignment="1"/>
    <xf numFmtId="3" fontId="32" fillId="0" borderId="0" xfId="0" applyNumberFormat="1" applyFont="1" applyFill="1" applyBorder="1"/>
    <xf numFmtId="0" fontId="32" fillId="0" borderId="14" xfId="0" applyFont="1" applyFill="1" applyBorder="1" applyAlignment="1">
      <alignment horizontal="center"/>
    </xf>
    <xf numFmtId="0" fontId="32" fillId="0" borderId="14" xfId="0" applyFont="1" applyFill="1" applyBorder="1"/>
    <xf numFmtId="2" fontId="32" fillId="0" borderId="14" xfId="0" applyNumberFormat="1" applyFont="1" applyFill="1" applyBorder="1" applyAlignment="1">
      <alignment wrapText="1"/>
    </xf>
    <xf numFmtId="164" fontId="32" fillId="0" borderId="0" xfId="65" applyFont="1" applyFill="1" applyBorder="1"/>
    <xf numFmtId="164" fontId="32" fillId="0" borderId="17" xfId="65" applyFont="1" applyFill="1" applyBorder="1"/>
    <xf numFmtId="0" fontId="32" fillId="0" borderId="14" xfId="0" applyFont="1" applyFill="1" applyBorder="1" applyAlignment="1">
      <alignment vertical="center"/>
    </xf>
    <xf numFmtId="0" fontId="69" fillId="0" borderId="0" xfId="75" applyFont="1" applyFill="1"/>
    <xf numFmtId="0" fontId="70" fillId="0" borderId="0" xfId="75" applyFont="1" applyFill="1"/>
    <xf numFmtId="0" fontId="32" fillId="0" borderId="14" xfId="0" applyFont="1" applyFill="1" applyBorder="1" applyAlignment="1">
      <alignment horizontal="center" wrapText="1"/>
    </xf>
    <xf numFmtId="49" fontId="32" fillId="0" borderId="14" xfId="38" applyNumberFormat="1" applyFont="1" applyFill="1" applyBorder="1" applyAlignment="1">
      <alignment horizontal="center" wrapText="1"/>
    </xf>
    <xf numFmtId="0" fontId="32" fillId="0" borderId="0" xfId="40" applyFont="1" applyFill="1"/>
    <xf numFmtId="0" fontId="69" fillId="0" borderId="0" xfId="38" applyFont="1" applyFill="1"/>
    <xf numFmtId="0" fontId="69" fillId="0" borderId="0" xfId="38" applyFont="1" applyFill="1" applyAlignment="1">
      <alignment horizontal="right"/>
    </xf>
    <xf numFmtId="0" fontId="69" fillId="0" borderId="14" xfId="38" applyFont="1" applyFill="1" applyBorder="1" applyAlignment="1">
      <alignment horizontal="center"/>
    </xf>
    <xf numFmtId="49" fontId="69" fillId="0" borderId="14" xfId="38" applyNumberFormat="1" applyFont="1" applyFill="1" applyBorder="1" applyAlignment="1">
      <alignment horizontal="center" wrapText="1"/>
    </xf>
    <xf numFmtId="0" fontId="69" fillId="0" borderId="14" xfId="38" applyFont="1" applyFill="1" applyBorder="1"/>
    <xf numFmtId="3" fontId="69" fillId="0" borderId="14" xfId="38" applyNumberFormat="1" applyFont="1" applyFill="1" applyBorder="1"/>
    <xf numFmtId="3" fontId="69" fillId="0" borderId="0" xfId="38" applyNumberFormat="1" applyFont="1" applyFill="1"/>
    <xf numFmtId="0" fontId="69" fillId="0" borderId="0" xfId="40" applyFont="1" applyFill="1"/>
    <xf numFmtId="0" fontId="69" fillId="0" borderId="0" xfId="39" applyFont="1" applyFill="1"/>
    <xf numFmtId="0" fontId="69" fillId="0" borderId="0" xfId="0" applyFont="1" applyFill="1"/>
    <xf numFmtId="0" fontId="69" fillId="0" borderId="0" xfId="0" applyFont="1" applyFill="1" applyAlignment="1">
      <alignment horizontal="right"/>
    </xf>
    <xf numFmtId="0" fontId="69" fillId="0" borderId="0" xfId="0" applyFont="1" applyFill="1" applyBorder="1"/>
    <xf numFmtId="0" fontId="69" fillId="0" borderId="0" xfId="41" applyFont="1" applyFill="1"/>
    <xf numFmtId="0" fontId="69" fillId="0" borderId="0" xfId="41" applyFont="1" applyFill="1" applyAlignment="1">
      <alignment horizontal="right"/>
    </xf>
    <xf numFmtId="0" fontId="69" fillId="0" borderId="0" xfId="41" applyFont="1" applyFill="1" applyBorder="1"/>
    <xf numFmtId="0" fontId="69" fillId="0" borderId="0" xfId="41" applyFont="1" applyFill="1" applyBorder="1" applyAlignment="1">
      <alignment horizontal="right"/>
    </xf>
    <xf numFmtId="0" fontId="69" fillId="0" borderId="14" xfId="41" applyFont="1" applyFill="1" applyBorder="1" applyAlignment="1">
      <alignment horizontal="center" wrapText="1"/>
    </xf>
    <xf numFmtId="0" fontId="69" fillId="0" borderId="0" xfId="41" applyFont="1" applyFill="1" applyBorder="1" applyAlignment="1">
      <alignment wrapText="1"/>
    </xf>
    <xf numFmtId="0" fontId="69" fillId="0" borderId="14" xfId="41" applyFont="1" applyFill="1" applyBorder="1" applyAlignment="1">
      <alignment horizontal="center"/>
    </xf>
    <xf numFmtId="0" fontId="69" fillId="0" borderId="15" xfId="41" applyFont="1" applyFill="1" applyBorder="1" applyAlignment="1">
      <alignment horizontal="left" wrapText="1"/>
    </xf>
    <xf numFmtId="0" fontId="69" fillId="0" borderId="15" xfId="41" applyFont="1" applyFill="1" applyBorder="1" applyAlignment="1">
      <alignment horizontal="center" wrapText="1"/>
    </xf>
    <xf numFmtId="0" fontId="69" fillId="0" borderId="15" xfId="41" applyFont="1" applyFill="1" applyBorder="1" applyAlignment="1">
      <alignment horizontal="center"/>
    </xf>
    <xf numFmtId="0" fontId="69" fillId="0" borderId="16" xfId="41" applyFont="1" applyFill="1" applyBorder="1"/>
    <xf numFmtId="3" fontId="69" fillId="0" borderId="16" xfId="41" applyNumberFormat="1" applyFont="1" applyFill="1" applyBorder="1"/>
    <xf numFmtId="2" fontId="69" fillId="0" borderId="16" xfId="41" applyNumberFormat="1" applyFont="1" applyFill="1" applyBorder="1"/>
    <xf numFmtId="3" fontId="69" fillId="0" borderId="0" xfId="41" applyNumberFormat="1" applyFont="1" applyFill="1" applyBorder="1"/>
    <xf numFmtId="2" fontId="69" fillId="0" borderId="0" xfId="41" applyNumberFormat="1" applyFont="1" applyFill="1" applyBorder="1"/>
    <xf numFmtId="0" fontId="69" fillId="0" borderId="16" xfId="41" applyFont="1" applyFill="1" applyBorder="1" applyAlignment="1">
      <alignment wrapText="1"/>
    </xf>
    <xf numFmtId="3" fontId="69" fillId="0" borderId="16" xfId="41" applyNumberFormat="1" applyFont="1" applyFill="1" applyBorder="1" applyAlignment="1">
      <alignment wrapText="1"/>
    </xf>
    <xf numFmtId="3" fontId="69" fillId="0" borderId="16" xfId="41" quotePrefix="1" applyNumberFormat="1" applyFont="1" applyFill="1" applyBorder="1"/>
    <xf numFmtId="0" fontId="69" fillId="0" borderId="14" xfId="41" applyFont="1" applyFill="1" applyBorder="1" applyAlignment="1">
      <alignment wrapText="1"/>
    </xf>
    <xf numFmtId="3" fontId="69" fillId="0" borderId="14" xfId="41" applyNumberFormat="1" applyFont="1" applyFill="1" applyBorder="1" applyAlignment="1">
      <alignment wrapText="1"/>
    </xf>
    <xf numFmtId="3" fontId="69" fillId="0" borderId="14" xfId="41" applyNumberFormat="1" applyFont="1" applyFill="1" applyBorder="1"/>
    <xf numFmtId="2" fontId="69" fillId="0" borderId="14" xfId="41" applyNumberFormat="1" applyFont="1" applyFill="1" applyBorder="1"/>
    <xf numFmtId="0" fontId="69" fillId="0" borderId="16" xfId="0" applyFont="1" applyFill="1" applyBorder="1"/>
    <xf numFmtId="3" fontId="69" fillId="0" borderId="17" xfId="0" applyNumberFormat="1" applyFont="1" applyFill="1" applyBorder="1"/>
    <xf numFmtId="3" fontId="69" fillId="0" borderId="16" xfId="0" applyNumberFormat="1" applyFont="1" applyBorder="1"/>
    <xf numFmtId="3" fontId="69" fillId="0" borderId="16" xfId="0" applyNumberFormat="1" applyFont="1" applyFill="1" applyBorder="1"/>
    <xf numFmtId="0" fontId="69" fillId="0" borderId="14" xfId="0" applyFont="1" applyFill="1" applyBorder="1"/>
    <xf numFmtId="3" fontId="69" fillId="0" borderId="14" xfId="0" applyNumberFormat="1" applyFont="1" applyFill="1" applyBorder="1"/>
    <xf numFmtId="3" fontId="69" fillId="0" borderId="16" xfId="0" applyNumberFormat="1" applyFont="1" applyFill="1" applyBorder="1" applyAlignment="1"/>
    <xf numFmtId="3" fontId="69" fillId="0" borderId="16" xfId="0" applyNumberFormat="1" applyFont="1" applyFill="1" applyBorder="1" applyAlignment="1">
      <alignment wrapText="1"/>
    </xf>
    <xf numFmtId="3" fontId="69" fillId="0" borderId="17" xfId="0" applyNumberFormat="1" applyFont="1" applyFill="1" applyBorder="1" applyAlignment="1">
      <alignment wrapText="1"/>
    </xf>
    <xf numFmtId="3" fontId="69" fillId="0" borderId="0" xfId="0" applyNumberFormat="1" applyFont="1" applyFill="1" applyAlignment="1">
      <alignment wrapText="1"/>
    </xf>
    <xf numFmtId="3" fontId="69" fillId="0" borderId="11" xfId="0" applyNumberFormat="1" applyFont="1" applyFill="1" applyBorder="1"/>
    <xf numFmtId="0" fontId="69" fillId="0" borderId="13" xfId="0" applyFont="1" applyFill="1" applyBorder="1" applyAlignment="1"/>
    <xf numFmtId="3" fontId="69" fillId="0" borderId="12" xfId="0" applyNumberFormat="1" applyFont="1" applyFill="1" applyBorder="1"/>
    <xf numFmtId="0" fontId="69" fillId="0" borderId="16" xfId="0" applyFont="1" applyFill="1" applyBorder="1" applyAlignment="1"/>
    <xf numFmtId="4" fontId="69" fillId="0" borderId="16" xfId="0" applyNumberFormat="1" applyFont="1" applyFill="1" applyBorder="1" applyAlignment="1"/>
    <xf numFmtId="2" fontId="69" fillId="0" borderId="16" xfId="0" applyNumberFormat="1" applyFont="1" applyFill="1" applyBorder="1"/>
    <xf numFmtId="0" fontId="69" fillId="0" borderId="16" xfId="42" applyFont="1" applyFill="1" applyBorder="1"/>
    <xf numFmtId="3" fontId="69" fillId="0" borderId="16" xfId="42" applyNumberFormat="1" applyFont="1" applyFill="1" applyBorder="1"/>
    <xf numFmtId="0" fontId="69" fillId="0" borderId="13" xfId="42" applyFont="1" applyFill="1" applyBorder="1"/>
    <xf numFmtId="3" fontId="69" fillId="0" borderId="13" xfId="42" applyNumberFormat="1" applyFont="1" applyFill="1" applyBorder="1"/>
    <xf numFmtId="0" fontId="69" fillId="0" borderId="14" xfId="42" applyFont="1" applyFill="1" applyBorder="1"/>
    <xf numFmtId="3" fontId="69" fillId="0" borderId="14" xfId="42" applyNumberFormat="1" applyFont="1" applyFill="1" applyBorder="1"/>
    <xf numFmtId="4" fontId="69" fillId="0" borderId="16" xfId="0" applyNumberFormat="1" applyFont="1" applyFill="1" applyBorder="1"/>
    <xf numFmtId="4" fontId="69" fillId="0" borderId="14" xfId="0" applyNumberFormat="1" applyFont="1" applyFill="1" applyBorder="1"/>
    <xf numFmtId="3" fontId="69" fillId="0" borderId="0" xfId="0" applyNumberFormat="1" applyFont="1" applyFill="1"/>
    <xf numFmtId="0" fontId="36" fillId="0" borderId="0" xfId="0" applyFont="1" applyFill="1" applyBorder="1"/>
    <xf numFmtId="3" fontId="32" fillId="0" borderId="14" xfId="0" applyNumberFormat="1" applyFont="1" applyFill="1" applyBorder="1" applyAlignment="1">
      <alignment horizontal="right"/>
    </xf>
    <xf numFmtId="3" fontId="32" fillId="0" borderId="14" xfId="0" applyNumberFormat="1" applyFont="1" applyFill="1" applyBorder="1"/>
    <xf numFmtId="0" fontId="69" fillId="0" borderId="15" xfId="38" applyFont="1" applyFill="1" applyBorder="1"/>
    <xf numFmtId="3" fontId="69" fillId="0" borderId="15" xfId="38" applyNumberFormat="1" applyFont="1" applyFill="1" applyBorder="1"/>
    <xf numFmtId="0" fontId="69" fillId="0" borderId="16" xfId="38" applyFont="1" applyFill="1" applyBorder="1"/>
    <xf numFmtId="3" fontId="69" fillId="0" borderId="16" xfId="38" applyNumberFormat="1" applyFont="1" applyFill="1" applyBorder="1"/>
    <xf numFmtId="3" fontId="69" fillId="0" borderId="13" xfId="38" applyNumberFormat="1" applyFont="1" applyFill="1" applyBorder="1"/>
    <xf numFmtId="0" fontId="14" fillId="0" borderId="13" xfId="38" applyFont="1" applyFill="1" applyBorder="1"/>
    <xf numFmtId="0" fontId="69" fillId="0" borderId="13" xfId="38" applyFont="1" applyFill="1" applyBorder="1"/>
    <xf numFmtId="0" fontId="13" fillId="0" borderId="0" xfId="38" applyFont="1" applyFill="1"/>
    <xf numFmtId="0" fontId="93" fillId="0" borderId="14" xfId="0" applyFont="1" applyFill="1" applyBorder="1" applyAlignment="1">
      <alignment vertical="center"/>
    </xf>
    <xf numFmtId="3" fontId="93" fillId="0" borderId="14" xfId="0" applyNumberFormat="1" applyFont="1" applyFill="1" applyBorder="1" applyAlignment="1">
      <alignment horizontal="right"/>
    </xf>
    <xf numFmtId="49" fontId="12" fillId="0" borderId="14" xfId="38" applyNumberFormat="1" applyFont="1" applyFill="1" applyBorder="1" applyAlignment="1">
      <alignment horizontal="center" wrapText="1"/>
    </xf>
    <xf numFmtId="0" fontId="12" fillId="0" borderId="14" xfId="41" applyFont="1" applyFill="1" applyBorder="1" applyAlignment="1">
      <alignment horizontal="center" wrapText="1"/>
    </xf>
    <xf numFmtId="3" fontId="12" fillId="0" borderId="16" xfId="42" applyNumberFormat="1" applyFont="1" applyFill="1" applyBorder="1"/>
    <xf numFmtId="0" fontId="12" fillId="0" borderId="0" xfId="75" applyFont="1" applyFill="1"/>
    <xf numFmtId="0" fontId="12" fillId="0" borderId="16" xfId="41" applyFont="1" applyFill="1" applyBorder="1" applyAlignment="1">
      <alignment wrapText="1"/>
    </xf>
    <xf numFmtId="0" fontId="32" fillId="0" borderId="0" xfId="0" applyFont="1"/>
    <xf numFmtId="0" fontId="0" fillId="0" borderId="0" xfId="0" applyFill="1"/>
    <xf numFmtId="0" fontId="36" fillId="0" borderId="0" xfId="0" applyFont="1"/>
    <xf numFmtId="0" fontId="36" fillId="0" borderId="0" xfId="0" applyFont="1" applyAlignment="1">
      <alignment horizontal="right"/>
    </xf>
    <xf numFmtId="0" fontId="95" fillId="0" borderId="27" xfId="0" applyFont="1" applyBorder="1" applyAlignment="1">
      <alignment horizontal="center" wrapText="1"/>
    </xf>
    <xf numFmtId="0" fontId="36" fillId="0" borderId="37" xfId="0" applyFont="1" applyBorder="1"/>
    <xf numFmtId="0" fontId="95" fillId="0" borderId="31" xfId="0" applyFont="1" applyBorder="1" applyAlignment="1">
      <alignment horizontal="center" wrapText="1"/>
    </xf>
    <xf numFmtId="14" fontId="36" fillId="0" borderId="38" xfId="0" applyNumberFormat="1" applyFont="1" applyBorder="1" applyAlignment="1">
      <alignment horizontal="center" wrapText="1"/>
    </xf>
    <xf numFmtId="14" fontId="36" fillId="0" borderId="32" xfId="0" applyNumberFormat="1" applyFont="1" applyBorder="1" applyAlignment="1">
      <alignment horizontal="center" wrapText="1"/>
    </xf>
    <xf numFmtId="0" fontId="36" fillId="0" borderId="32" xfId="0" applyFont="1" applyBorder="1" applyAlignment="1">
      <alignment horizontal="center" wrapText="1"/>
    </xf>
    <xf numFmtId="49" fontId="36" fillId="0" borderId="32" xfId="0" applyNumberFormat="1" applyFont="1" applyBorder="1" applyAlignment="1">
      <alignment horizontal="center"/>
    </xf>
    <xf numFmtId="0" fontId="36" fillId="0" borderId="37" xfId="0" applyFont="1" applyBorder="1" applyAlignment="1">
      <alignment horizontal="center"/>
    </xf>
    <xf numFmtId="0" fontId="36" fillId="0" borderId="32" xfId="0" applyFont="1" applyBorder="1" applyAlignment="1">
      <alignment horizontal="center"/>
    </xf>
    <xf numFmtId="0" fontId="36" fillId="0" borderId="38" xfId="0" applyFont="1" applyBorder="1" applyAlignment="1">
      <alignment horizontal="center"/>
    </xf>
    <xf numFmtId="0" fontId="36" fillId="0" borderId="35" xfId="0" applyFont="1" applyBorder="1" applyAlignment="1">
      <alignment horizontal="center"/>
    </xf>
    <xf numFmtId="0" fontId="36" fillId="0" borderId="36" xfId="0" applyFont="1" applyBorder="1" applyAlignment="1">
      <alignment horizontal="center"/>
    </xf>
    <xf numFmtId="0" fontId="36" fillId="0" borderId="33" xfId="0" applyFont="1" applyBorder="1"/>
    <xf numFmtId="0" fontId="36" fillId="0" borderId="27" xfId="0" applyFont="1" applyBorder="1"/>
    <xf numFmtId="0" fontId="36" fillId="0" borderId="28" xfId="0" applyFont="1" applyBorder="1"/>
    <xf numFmtId="0" fontId="36" fillId="0" borderId="39" xfId="0" applyFont="1" applyBorder="1"/>
    <xf numFmtId="0" fontId="36" fillId="0" borderId="29" xfId="0" applyFont="1" applyBorder="1" applyAlignment="1">
      <alignment horizontal="left"/>
    </xf>
    <xf numFmtId="170" fontId="36" fillId="0" borderId="39" xfId="0" applyNumberFormat="1" applyFont="1" applyBorder="1" applyAlignment="1">
      <alignment horizontal="right"/>
    </xf>
    <xf numFmtId="170" fontId="36" fillId="0" borderId="0" xfId="0" applyNumberFormat="1" applyFont="1" applyBorder="1" applyAlignment="1">
      <alignment horizontal="right"/>
    </xf>
    <xf numFmtId="0" fontId="96" fillId="0" borderId="29" xfId="0" applyFont="1" applyBorder="1"/>
    <xf numFmtId="0" fontId="96" fillId="0" borderId="39" xfId="0" applyFont="1" applyBorder="1"/>
    <xf numFmtId="170" fontId="96" fillId="0" borderId="39" xfId="0" applyNumberFormat="1" applyFont="1" applyBorder="1"/>
    <xf numFmtId="0" fontId="36" fillId="0" borderId="29" xfId="0" applyFont="1" applyBorder="1"/>
    <xf numFmtId="170" fontId="36" fillId="0" borderId="39" xfId="0" applyNumberFormat="1" applyFont="1" applyBorder="1"/>
    <xf numFmtId="170" fontId="36" fillId="0" borderId="37" xfId="0" applyNumberFormat="1" applyFont="1" applyBorder="1"/>
    <xf numFmtId="0" fontId="36" fillId="0" borderId="0" xfId="0" applyFont="1" applyBorder="1"/>
    <xf numFmtId="3" fontId="36" fillId="0" borderId="0" xfId="0" applyNumberFormat="1" applyFont="1" applyBorder="1" applyAlignment="1">
      <alignment horizontal="right"/>
    </xf>
    <xf numFmtId="0" fontId="97" fillId="0" borderId="0" xfId="0" applyFont="1"/>
    <xf numFmtId="0" fontId="96" fillId="0" borderId="0" xfId="0" applyFont="1"/>
    <xf numFmtId="3" fontId="98" fillId="0" borderId="0" xfId="0" applyNumberFormat="1" applyFont="1" applyBorder="1" applyAlignment="1">
      <alignment horizontal="right"/>
    </xf>
    <xf numFmtId="0" fontId="98" fillId="0" borderId="38" xfId="0" applyFont="1" applyBorder="1" applyAlignment="1">
      <alignment horizontal="center"/>
    </xf>
    <xf numFmtId="0" fontId="99" fillId="0" borderId="38" xfId="0" applyFont="1" applyBorder="1" applyAlignment="1">
      <alignment horizontal="center"/>
    </xf>
    <xf numFmtId="0" fontId="98" fillId="0" borderId="39" xfId="0" applyFont="1" applyBorder="1" applyAlignment="1">
      <alignment horizontal="center"/>
    </xf>
    <xf numFmtId="3" fontId="99" fillId="0" borderId="33" xfId="0" applyNumberFormat="1" applyFont="1" applyBorder="1" applyAlignment="1">
      <alignment horizontal="right"/>
    </xf>
    <xf numFmtId="3" fontId="35" fillId="0" borderId="30" xfId="0" applyNumberFormat="1" applyFont="1" applyBorder="1"/>
    <xf numFmtId="3" fontId="99" fillId="0" borderId="39" xfId="0" applyNumberFormat="1" applyFont="1" applyBorder="1" applyAlignment="1">
      <alignment horizontal="right"/>
    </xf>
    <xf numFmtId="3" fontId="100" fillId="0" borderId="39" xfId="0" applyNumberFormat="1" applyFont="1" applyBorder="1" applyAlignment="1">
      <alignment horizontal="right"/>
    </xf>
    <xf numFmtId="3" fontId="99" fillId="0" borderId="38" xfId="0" applyNumberFormat="1" applyFont="1" applyBorder="1" applyAlignment="1">
      <alignment horizontal="right"/>
    </xf>
    <xf numFmtId="3" fontId="99" fillId="0" borderId="36" xfId="0" applyNumberFormat="1" applyFont="1" applyBorder="1" applyAlignment="1">
      <alignment horizontal="right"/>
    </xf>
    <xf numFmtId="0" fontId="98" fillId="0" borderId="0" xfId="0" applyFont="1" applyBorder="1" applyAlignment="1">
      <alignment horizontal="left"/>
    </xf>
    <xf numFmtId="0" fontId="35" fillId="0" borderId="0" xfId="0" applyFont="1"/>
    <xf numFmtId="0" fontId="98" fillId="0" borderId="0" xfId="0" applyFont="1" applyFill="1" applyBorder="1" applyAlignment="1">
      <alignment horizontal="left"/>
    </xf>
    <xf numFmtId="3" fontId="99" fillId="0" borderId="0" xfId="0" applyNumberFormat="1" applyFont="1" applyBorder="1" applyAlignment="1">
      <alignment horizontal="right"/>
    </xf>
    <xf numFmtId="0" fontId="98" fillId="0" borderId="27" xfId="0" applyFont="1" applyBorder="1" applyAlignment="1">
      <alignment horizontal="center"/>
    </xf>
    <xf numFmtId="0" fontId="99" fillId="0" borderId="33" xfId="0" applyFont="1" applyBorder="1" applyAlignment="1">
      <alignment horizontal="center"/>
    </xf>
    <xf numFmtId="0" fontId="98" fillId="0" borderId="31" xfId="0" applyFont="1" applyBorder="1" applyAlignment="1">
      <alignment horizontal="center"/>
    </xf>
    <xf numFmtId="0" fontId="99" fillId="0" borderId="37" xfId="0" applyFont="1" applyBorder="1" applyAlignment="1">
      <alignment horizontal="center"/>
    </xf>
    <xf numFmtId="0" fontId="98" fillId="0" borderId="29" xfId="0" applyFont="1" applyBorder="1" applyAlignment="1">
      <alignment horizontal="center"/>
    </xf>
    <xf numFmtId="3" fontId="35" fillId="0" borderId="39" xfId="0" applyNumberFormat="1" applyFont="1" applyBorder="1"/>
    <xf numFmtId="0" fontId="35" fillId="0" borderId="39" xfId="0" applyFont="1" applyBorder="1"/>
    <xf numFmtId="0" fontId="98" fillId="0" borderId="34" xfId="0" applyFont="1" applyBorder="1" applyAlignment="1">
      <alignment horizontal="center"/>
    </xf>
    <xf numFmtId="3" fontId="35" fillId="0" borderId="38" xfId="0" applyNumberFormat="1" applyFont="1" applyBorder="1"/>
    <xf numFmtId="0" fontId="98" fillId="0" borderId="0" xfId="0" applyFont="1" applyBorder="1" applyAlignment="1">
      <alignment horizontal="center"/>
    </xf>
    <xf numFmtId="3" fontId="35" fillId="0" borderId="0" xfId="0" applyNumberFormat="1" applyFont="1" applyBorder="1"/>
    <xf numFmtId="0" fontId="12" fillId="0" borderId="14" xfId="41" quotePrefix="1" applyFont="1" applyFill="1" applyBorder="1" applyAlignment="1">
      <alignment horizontal="center" wrapText="1"/>
    </xf>
    <xf numFmtId="0" fontId="104" fillId="0" borderId="33" xfId="0" applyFont="1" applyBorder="1" applyAlignment="1">
      <alignment horizontal="center"/>
    </xf>
    <xf numFmtId="0" fontId="104" fillId="0" borderId="34" xfId="0" applyFont="1" applyBorder="1" applyAlignment="1"/>
    <xf numFmtId="0" fontId="104" fillId="0" borderId="35" xfId="0" applyFont="1" applyBorder="1" applyAlignment="1"/>
    <xf numFmtId="0" fontId="104" fillId="0" borderId="36" xfId="0" applyFont="1" applyBorder="1" applyAlignment="1"/>
    <xf numFmtId="0" fontId="104" fillId="0" borderId="35" xfId="0" applyFont="1" applyBorder="1" applyAlignment="1">
      <alignment horizontal="center"/>
    </xf>
    <xf numFmtId="0" fontId="104" fillId="0" borderId="36" xfId="0" applyFont="1" applyBorder="1" applyAlignment="1">
      <alignment horizontal="center"/>
    </xf>
    <xf numFmtId="0" fontId="104" fillId="0" borderId="39" xfId="0" applyFont="1" applyBorder="1"/>
    <xf numFmtId="0" fontId="104" fillId="0" borderId="29" xfId="0" applyFont="1" applyBorder="1" applyAlignment="1">
      <alignment horizontal="left"/>
    </xf>
    <xf numFmtId="170" fontId="104" fillId="0" borderId="39" xfId="0" applyNumberFormat="1" applyFont="1" applyBorder="1" applyAlignment="1">
      <alignment horizontal="right"/>
    </xf>
    <xf numFmtId="170" fontId="104" fillId="0" borderId="0" xfId="0" applyNumberFormat="1" applyFont="1" applyBorder="1" applyAlignment="1">
      <alignment horizontal="right"/>
    </xf>
    <xf numFmtId="0" fontId="103" fillId="0" borderId="39" xfId="0" applyFont="1" applyBorder="1"/>
    <xf numFmtId="0" fontId="103" fillId="0" borderId="29" xfId="0" applyFont="1" applyBorder="1"/>
    <xf numFmtId="170" fontId="103" fillId="0" borderId="39" xfId="0" applyNumberFormat="1" applyFont="1" applyBorder="1"/>
    <xf numFmtId="170" fontId="103" fillId="0" borderId="0" xfId="0" applyNumberFormat="1" applyFont="1"/>
    <xf numFmtId="170" fontId="103" fillId="0" borderId="0" xfId="0" applyNumberFormat="1" applyFont="1" applyBorder="1"/>
    <xf numFmtId="0" fontId="104" fillId="0" borderId="38" xfId="0" applyFont="1" applyBorder="1"/>
    <xf numFmtId="170" fontId="104" fillId="0" borderId="38" xfId="0" applyNumberFormat="1" applyFont="1" applyBorder="1" applyAlignment="1">
      <alignment horizontal="right"/>
    </xf>
    <xf numFmtId="0" fontId="0" fillId="0" borderId="38" xfId="0" applyBorder="1" applyAlignment="1">
      <alignment horizontal="center"/>
    </xf>
    <xf numFmtId="0" fontId="0" fillId="0" borderId="36" xfId="0" applyFont="1" applyBorder="1" applyAlignment="1">
      <alignment horizontal="center"/>
    </xf>
    <xf numFmtId="3" fontId="0" fillId="0" borderId="39" xfId="0" applyNumberFormat="1" applyBorder="1"/>
    <xf numFmtId="0" fontId="0" fillId="0" borderId="39" xfId="0" applyBorder="1"/>
    <xf numFmtId="0" fontId="2" fillId="0" borderId="0" xfId="165"/>
    <xf numFmtId="3" fontId="0" fillId="0" borderId="0" xfId="0" applyNumberFormat="1"/>
    <xf numFmtId="0" fontId="93" fillId="0" borderId="0" xfId="0" applyFont="1"/>
    <xf numFmtId="0" fontId="0" fillId="0" borderId="0" xfId="0" applyAlignment="1">
      <alignment horizontal="right"/>
    </xf>
    <xf numFmtId="2" fontId="93" fillId="0" borderId="0" xfId="0" applyNumberFormat="1" applyFont="1"/>
    <xf numFmtId="3" fontId="0" fillId="0" borderId="0" xfId="0" applyNumberFormat="1" applyFill="1"/>
    <xf numFmtId="0" fontId="32" fillId="0" borderId="15" xfId="0" applyFont="1" applyBorder="1" applyAlignment="1">
      <alignment horizontal="center" vertical="center"/>
    </xf>
    <xf numFmtId="49" fontId="32" fillId="0" borderId="15" xfId="0" applyNumberFormat="1" applyFont="1" applyFill="1" applyBorder="1" applyAlignment="1">
      <alignment horizontal="center" vertical="center" wrapText="1"/>
    </xf>
    <xf numFmtId="49" fontId="32" fillId="55" borderId="15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0" fontId="32" fillId="55" borderId="14" xfId="0" applyFont="1" applyFill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0" fillId="0" borderId="40" xfId="0" applyBorder="1"/>
    <xf numFmtId="3" fontId="0" fillId="0" borderId="40" xfId="0" applyNumberFormat="1" applyFill="1" applyBorder="1"/>
    <xf numFmtId="3" fontId="0" fillId="0" borderId="15" xfId="0" applyNumberFormat="1" applyFill="1" applyBorder="1"/>
    <xf numFmtId="4" fontId="0" fillId="0" borderId="40" xfId="0" applyNumberFormat="1" applyBorder="1"/>
    <xf numFmtId="4" fontId="0" fillId="0" borderId="15" xfId="0" applyNumberFormat="1" applyBorder="1"/>
    <xf numFmtId="0" fontId="0" fillId="0" borderId="17" xfId="0" applyBorder="1"/>
    <xf numFmtId="3" fontId="0" fillId="0" borderId="17" xfId="0" applyNumberFormat="1" applyFill="1" applyBorder="1"/>
    <xf numFmtId="3" fontId="0" fillId="0" borderId="16" xfId="0" applyNumberFormat="1" applyFill="1" applyBorder="1"/>
    <xf numFmtId="4" fontId="0" fillId="0" borderId="17" xfId="0" applyNumberFormat="1" applyBorder="1"/>
    <xf numFmtId="4" fontId="0" fillId="0" borderId="16" xfId="0" applyNumberFormat="1" applyBorder="1"/>
    <xf numFmtId="3" fontId="32" fillId="0" borderId="17" xfId="0" applyNumberFormat="1" applyFont="1" applyFill="1" applyBorder="1"/>
    <xf numFmtId="3" fontId="32" fillId="0" borderId="16" xfId="0" applyNumberFormat="1" applyFont="1" applyFill="1" applyBorder="1"/>
    <xf numFmtId="3" fontId="105" fillId="0" borderId="17" xfId="0" applyNumberFormat="1" applyFont="1" applyBorder="1"/>
    <xf numFmtId="3" fontId="32" fillId="0" borderId="17" xfId="0" applyNumberFormat="1" applyFont="1" applyBorder="1"/>
    <xf numFmtId="0" fontId="0" fillId="0" borderId="17" xfId="0" applyBorder="1" applyAlignment="1">
      <alignment wrapText="1" shrinkToFit="1"/>
    </xf>
    <xf numFmtId="0" fontId="0" fillId="0" borderId="17" xfId="0" applyBorder="1" applyAlignment="1">
      <alignment wrapText="1"/>
    </xf>
    <xf numFmtId="3" fontId="0" fillId="0" borderId="17" xfId="0" applyNumberFormat="1" applyBorder="1"/>
    <xf numFmtId="0" fontId="32" fillId="0" borderId="17" xfId="0" applyFont="1" applyBorder="1"/>
    <xf numFmtId="3" fontId="0" fillId="0" borderId="17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32" fillId="56" borderId="17" xfId="0" applyFont="1" applyFill="1" applyBorder="1" applyAlignment="1">
      <alignment wrapText="1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/>
    <xf numFmtId="3" fontId="32" fillId="0" borderId="0" xfId="0" applyNumberFormat="1" applyFont="1" applyBorder="1"/>
    <xf numFmtId="0" fontId="34" fillId="0" borderId="0" xfId="0" applyFont="1" applyFill="1" applyBorder="1"/>
    <xf numFmtId="14" fontId="106" fillId="0" borderId="0" xfId="0" applyNumberFormat="1" applyFont="1" applyBorder="1" applyAlignment="1">
      <alignment horizontal="left"/>
    </xf>
    <xf numFmtId="3" fontId="32" fillId="0" borderId="0" xfId="0" applyNumberFormat="1" applyFont="1"/>
    <xf numFmtId="0" fontId="32" fillId="0" borderId="14" xfId="0" applyFont="1" applyBorder="1" applyAlignment="1">
      <alignment horizontal="center" vertical="center"/>
    </xf>
    <xf numFmtId="0" fontId="0" fillId="0" borderId="13" xfId="0" applyBorder="1" applyAlignment="1">
      <alignment wrapText="1"/>
    </xf>
    <xf numFmtId="3" fontId="32" fillId="0" borderId="41" xfId="166" applyNumberFormat="1" applyFont="1" applyFill="1" applyBorder="1" applyAlignment="1"/>
    <xf numFmtId="3" fontId="32" fillId="55" borderId="13" xfId="0" applyNumberFormat="1" applyFont="1" applyFill="1" applyBorder="1"/>
    <xf numFmtId="4" fontId="0" fillId="0" borderId="0" xfId="0" applyNumberFormat="1" applyBorder="1"/>
    <xf numFmtId="3" fontId="32" fillId="0" borderId="13" xfId="0" applyNumberFormat="1" applyFont="1" applyBorder="1"/>
    <xf numFmtId="14" fontId="32" fillId="0" borderId="0" xfId="0" applyNumberFormat="1" applyFont="1" applyAlignment="1">
      <alignment horizontal="left"/>
    </xf>
    <xf numFmtId="0" fontId="0" fillId="0" borderId="14" xfId="0" applyBorder="1"/>
    <xf numFmtId="3" fontId="0" fillId="0" borderId="14" xfId="0" applyNumberFormat="1" applyFill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42" xfId="0" applyNumberFormat="1" applyFill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17" xfId="0" applyBorder="1" applyAlignment="1">
      <alignment horizontal="right"/>
    </xf>
    <xf numFmtId="3" fontId="0" fillId="0" borderId="11" xfId="0" applyNumberFormat="1" applyBorder="1" applyAlignment="1">
      <alignment horizontal="center"/>
    </xf>
    <xf numFmtId="0" fontId="0" fillId="0" borderId="44" xfId="0" applyBorder="1" applyAlignment="1">
      <alignment horizontal="right"/>
    </xf>
    <xf numFmtId="3" fontId="0" fillId="0" borderId="45" xfId="0" applyNumberFormat="1" applyFill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40" xfId="0" applyNumberFormat="1" applyFill="1" applyBorder="1" applyAlignment="1">
      <alignment horizontal="center"/>
    </xf>
    <xf numFmtId="3" fontId="0" fillId="0" borderId="17" xfId="0" applyNumberFormat="1" applyFill="1" applyBorder="1" applyAlignment="1">
      <alignment horizontal="center"/>
    </xf>
    <xf numFmtId="3" fontId="0" fillId="0" borderId="44" xfId="0" applyNumberFormat="1" applyFill="1" applyBorder="1" applyAlignment="1">
      <alignment horizontal="center"/>
    </xf>
    <xf numFmtId="3" fontId="32" fillId="0" borderId="15" xfId="0" applyNumberFormat="1" applyFont="1" applyFill="1" applyBorder="1" applyAlignment="1">
      <alignment horizontal="right"/>
    </xf>
    <xf numFmtId="3" fontId="32" fillId="0" borderId="16" xfId="0" applyNumberFormat="1" applyFont="1" applyFill="1" applyBorder="1" applyAlignment="1">
      <alignment horizontal="right"/>
    </xf>
    <xf numFmtId="3" fontId="93" fillId="0" borderId="13" xfId="0" applyNumberFormat="1" applyFont="1" applyFill="1" applyBorder="1" applyAlignment="1">
      <alignment horizontal="right"/>
    </xf>
    <xf numFmtId="0" fontId="32" fillId="0" borderId="40" xfId="0" applyFont="1" applyBorder="1" applyAlignment="1">
      <alignment horizontal="right"/>
    </xf>
    <xf numFmtId="2" fontId="32" fillId="0" borderId="0" xfId="0" applyNumberFormat="1" applyFont="1"/>
    <xf numFmtId="14" fontId="12" fillId="0" borderId="0" xfId="75" applyNumberFormat="1" applyFont="1" applyFill="1"/>
    <xf numFmtId="3" fontId="12" fillId="0" borderId="0" xfId="75" applyNumberFormat="1" applyFont="1" applyFill="1"/>
    <xf numFmtId="0" fontId="12" fillId="0" borderId="0" xfId="75" applyFont="1" applyFill="1" applyBorder="1" applyAlignment="1">
      <alignment horizontal="left"/>
    </xf>
    <xf numFmtId="0" fontId="12" fillId="0" borderId="0" xfId="75" applyFont="1" applyFill="1" applyBorder="1"/>
    <xf numFmtId="0" fontId="70" fillId="0" borderId="0" xfId="75" applyFont="1" applyFill="1" applyBorder="1"/>
    <xf numFmtId="0" fontId="12" fillId="0" borderId="0" xfId="75" applyFont="1" applyFill="1" applyBorder="1" applyAlignment="1">
      <alignment horizontal="right"/>
    </xf>
    <xf numFmtId="0" fontId="12" fillId="0" borderId="15" xfId="75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 wrapText="1"/>
    </xf>
    <xf numFmtId="171" fontId="12" fillId="0" borderId="14" xfId="167" applyNumberFormat="1" applyFont="1" applyFill="1" applyBorder="1" applyAlignment="1">
      <alignment horizontal="center" wrapText="1"/>
    </xf>
    <xf numFmtId="0" fontId="12" fillId="0" borderId="14" xfId="75" applyFont="1" applyFill="1" applyBorder="1" applyAlignment="1">
      <alignment horizontal="center"/>
    </xf>
    <xf numFmtId="0" fontId="70" fillId="0" borderId="14" xfId="75" applyFont="1" applyFill="1" applyBorder="1" applyAlignment="1">
      <alignment horizontal="center"/>
    </xf>
    <xf numFmtId="0" fontId="12" fillId="0" borderId="14" xfId="168" applyFont="1" applyFill="1" applyBorder="1" applyAlignment="1">
      <alignment horizontal="center"/>
    </xf>
    <xf numFmtId="0" fontId="12" fillId="0" borderId="16" xfId="75" applyFont="1" applyFill="1" applyBorder="1" applyAlignment="1">
      <alignment horizontal="left"/>
    </xf>
    <xf numFmtId="0" fontId="12" fillId="0" borderId="16" xfId="75" applyFont="1" applyFill="1" applyBorder="1" applyAlignment="1">
      <alignment horizontal="center"/>
    </xf>
    <xf numFmtId="0" fontId="70" fillId="0" borderId="16" xfId="75" applyFont="1" applyFill="1" applyBorder="1" applyAlignment="1">
      <alignment horizontal="center"/>
    </xf>
    <xf numFmtId="0" fontId="12" fillId="0" borderId="16" xfId="75" applyFont="1" applyFill="1" applyBorder="1"/>
    <xf numFmtId="3" fontId="12" fillId="0" borderId="16" xfId="75" applyNumberFormat="1" applyFont="1" applyFill="1" applyBorder="1"/>
    <xf numFmtId="2" fontId="12" fillId="0" borderId="16" xfId="75" applyNumberFormat="1" applyFont="1" applyFill="1" applyBorder="1"/>
    <xf numFmtId="2" fontId="12" fillId="0" borderId="16" xfId="75" applyNumberFormat="1" applyFont="1" applyFill="1" applyBorder="1" applyAlignment="1">
      <alignment horizontal="center"/>
    </xf>
    <xf numFmtId="3" fontId="12" fillId="0" borderId="11" xfId="75" applyNumberFormat="1" applyFont="1" applyFill="1" applyBorder="1"/>
    <xf numFmtId="3" fontId="12" fillId="0" borderId="13" xfId="75" applyNumberFormat="1" applyFont="1" applyFill="1" applyBorder="1"/>
    <xf numFmtId="2" fontId="12" fillId="0" borderId="13" xfId="75" applyNumberFormat="1" applyFont="1" applyFill="1" applyBorder="1"/>
    <xf numFmtId="0" fontId="12" fillId="0" borderId="15" xfId="75" applyFont="1" applyFill="1" applyBorder="1"/>
    <xf numFmtId="3" fontId="12" fillId="0" borderId="15" xfId="75" applyNumberFormat="1" applyFont="1" applyFill="1" applyBorder="1"/>
    <xf numFmtId="0" fontId="12" fillId="0" borderId="13" xfId="75" applyFont="1" applyFill="1" applyBorder="1"/>
    <xf numFmtId="0" fontId="12" fillId="0" borderId="15" xfId="168" applyFont="1" applyFill="1" applyBorder="1"/>
    <xf numFmtId="0" fontId="70" fillId="0" borderId="15" xfId="168" applyFont="1" applyFill="1" applyBorder="1"/>
    <xf numFmtId="2" fontId="12" fillId="0" borderId="15" xfId="75" applyNumberFormat="1" applyFont="1" applyFill="1" applyBorder="1"/>
    <xf numFmtId="0" fontId="12" fillId="0" borderId="16" xfId="168" applyFont="1" applyFill="1" applyBorder="1"/>
    <xf numFmtId="3" fontId="12" fillId="0" borderId="16" xfId="168" applyNumberFormat="1" applyFont="1" applyFill="1" applyBorder="1"/>
    <xf numFmtId="3" fontId="12" fillId="0" borderId="13" xfId="168" applyNumberFormat="1" applyFont="1" applyFill="1" applyBorder="1"/>
    <xf numFmtId="0" fontId="12" fillId="0" borderId="0" xfId="169" applyFont="1" applyFill="1"/>
    <xf numFmtId="0" fontId="12" fillId="0" borderId="0" xfId="0" applyFont="1" applyFill="1"/>
    <xf numFmtId="0" fontId="108" fillId="0" borderId="0" xfId="170" applyFont="1" applyAlignment="1">
      <alignment horizontal="centerContinuous"/>
    </xf>
    <xf numFmtId="0" fontId="109" fillId="0" borderId="0" xfId="170" applyFont="1" applyAlignment="1">
      <alignment horizontal="centerContinuous"/>
    </xf>
    <xf numFmtId="0" fontId="109" fillId="0" borderId="0" xfId="170" applyFont="1" applyAlignment="1"/>
    <xf numFmtId="0" fontId="35" fillId="0" borderId="0" xfId="170"/>
    <xf numFmtId="0" fontId="35" fillId="0" borderId="0" xfId="170" applyFont="1" applyAlignment="1">
      <alignment horizontal="right"/>
    </xf>
    <xf numFmtId="0" fontId="51" fillId="0" borderId="0" xfId="170" applyFont="1" applyAlignment="1">
      <alignment horizontal="right"/>
    </xf>
    <xf numFmtId="0" fontId="96" fillId="0" borderId="0" xfId="170" applyFont="1" applyAlignment="1">
      <alignment horizontal="right"/>
    </xf>
    <xf numFmtId="0" fontId="49" fillId="0" borderId="33" xfId="170" applyFont="1" applyBorder="1" applyAlignment="1">
      <alignment horizontal="center"/>
    </xf>
    <xf numFmtId="0" fontId="110" fillId="0" borderId="46" xfId="170" applyFont="1" applyBorder="1" applyAlignment="1">
      <alignment horizontal="centerContinuous"/>
    </xf>
    <xf numFmtId="0" fontId="49" fillId="0" borderId="46" xfId="170" applyFont="1" applyBorder="1" applyAlignment="1">
      <alignment horizontal="centerContinuous"/>
    </xf>
    <xf numFmtId="0" fontId="111" fillId="0" borderId="46" xfId="170" applyFont="1" applyBorder="1" applyAlignment="1">
      <alignment horizontal="centerContinuous"/>
    </xf>
    <xf numFmtId="0" fontId="49" fillId="0" borderId="47" xfId="170" applyFont="1" applyBorder="1" applyAlignment="1">
      <alignment horizontal="centerContinuous"/>
    </xf>
    <xf numFmtId="0" fontId="111" fillId="0" borderId="39" xfId="170" applyFont="1" applyBorder="1"/>
    <xf numFmtId="0" fontId="49" fillId="0" borderId="39" xfId="170" applyFont="1" applyBorder="1" applyAlignment="1">
      <alignment horizontal="center"/>
    </xf>
    <xf numFmtId="0" fontId="49" fillId="0" borderId="48" xfId="170" applyFont="1" applyBorder="1" applyAlignment="1">
      <alignment horizontal="centerContinuous"/>
    </xf>
    <xf numFmtId="0" fontId="49" fillId="0" borderId="49" xfId="170" applyFont="1" applyBorder="1" applyAlignment="1">
      <alignment horizontal="centerContinuous"/>
    </xf>
    <xf numFmtId="0" fontId="49" fillId="0" borderId="50" xfId="170" applyFont="1" applyBorder="1" applyAlignment="1">
      <alignment horizontal="centerContinuous"/>
    </xf>
    <xf numFmtId="0" fontId="97" fillId="0" borderId="29" xfId="170" applyFont="1" applyBorder="1" applyAlignment="1">
      <alignment horizontal="center"/>
    </xf>
    <xf numFmtId="0" fontId="97" fillId="0" borderId="15" xfId="170" applyFont="1" applyBorder="1" applyAlignment="1">
      <alignment horizontal="center"/>
    </xf>
    <xf numFmtId="0" fontId="97" fillId="0" borderId="51" xfId="170" applyFont="1" applyBorder="1" applyAlignment="1">
      <alignment horizontal="center"/>
    </xf>
    <xf numFmtId="0" fontId="111" fillId="0" borderId="30" xfId="170" applyFont="1" applyBorder="1" applyAlignment="1">
      <alignment horizontal="center"/>
    </xf>
    <xf numFmtId="0" fontId="112" fillId="0" borderId="38" xfId="170" applyFont="1" applyBorder="1" applyAlignment="1">
      <alignment horizontal="center"/>
    </xf>
    <xf numFmtId="0" fontId="112" fillId="0" borderId="34" xfId="170" applyFont="1" applyBorder="1" applyAlignment="1">
      <alignment horizontal="center"/>
    </xf>
    <xf numFmtId="0" fontId="112" fillId="0" borderId="52" xfId="170" applyFont="1" applyBorder="1" applyAlignment="1">
      <alignment horizontal="center"/>
    </xf>
    <xf numFmtId="0" fontId="112" fillId="0" borderId="36" xfId="170" applyFont="1" applyBorder="1" applyAlignment="1">
      <alignment horizontal="center"/>
    </xf>
    <xf numFmtId="0" fontId="97" fillId="0" borderId="39" xfId="170" applyFont="1" applyBorder="1"/>
    <xf numFmtId="172" fontId="103" fillId="0" borderId="39" xfId="170" applyNumberFormat="1" applyFont="1" applyBorder="1"/>
    <xf numFmtId="172" fontId="97" fillId="0" borderId="29" xfId="170" applyNumberFormat="1" applyFont="1" applyBorder="1"/>
    <xf numFmtId="172" fontId="97" fillId="0" borderId="16" xfId="170" applyNumberFormat="1" applyFont="1" applyBorder="1"/>
    <xf numFmtId="172" fontId="97" fillId="0" borderId="30" xfId="170" applyNumberFormat="1" applyFont="1" applyBorder="1"/>
    <xf numFmtId="172" fontId="35" fillId="0" borderId="0" xfId="170" applyNumberFormat="1"/>
    <xf numFmtId="0" fontId="97" fillId="0" borderId="37" xfId="170" applyFont="1" applyBorder="1"/>
    <xf numFmtId="172" fontId="97" fillId="0" borderId="37" xfId="170" applyNumberFormat="1" applyFont="1" applyBorder="1"/>
    <xf numFmtId="172" fontId="97" fillId="0" borderId="31" xfId="170" applyNumberFormat="1" applyFont="1" applyBorder="1"/>
    <xf numFmtId="172" fontId="97" fillId="0" borderId="53" xfId="170" applyNumberFormat="1" applyFont="1" applyBorder="1"/>
    <xf numFmtId="172" fontId="97" fillId="0" borderId="32" xfId="170" applyNumberFormat="1" applyFont="1" applyBorder="1"/>
    <xf numFmtId="0" fontId="111" fillId="0" borderId="29" xfId="170" applyFont="1" applyBorder="1" applyAlignment="1">
      <alignment horizontal="center"/>
    </xf>
    <xf numFmtId="0" fontId="111" fillId="0" borderId="15" xfId="170" applyFont="1" applyBorder="1" applyAlignment="1">
      <alignment horizontal="center"/>
    </xf>
    <xf numFmtId="0" fontId="35" fillId="0" borderId="0" xfId="170" applyFont="1"/>
    <xf numFmtId="0" fontId="1" fillId="0" borderId="0" xfId="172" applyFill="1"/>
    <xf numFmtId="0" fontId="113" fillId="0" borderId="0" xfId="172" applyFont="1" applyFill="1" applyAlignment="1">
      <alignment horizontal="center" wrapText="1"/>
    </xf>
    <xf numFmtId="173" fontId="113" fillId="0" borderId="0" xfId="172" applyNumberFormat="1" applyFont="1" applyFill="1" applyAlignment="1">
      <alignment horizontal="center" wrapText="1"/>
    </xf>
    <xf numFmtId="173" fontId="1" fillId="0" borderId="0" xfId="172" applyNumberFormat="1" applyFill="1"/>
    <xf numFmtId="49" fontId="104" fillId="0" borderId="14" xfId="172" applyNumberFormat="1" applyFont="1" applyFill="1" applyBorder="1" applyAlignment="1">
      <alignment horizontal="left"/>
    </xf>
    <xf numFmtId="49" fontId="114" fillId="0" borderId="14" xfId="172" applyNumberFormat="1" applyFont="1" applyFill="1" applyBorder="1" applyAlignment="1">
      <alignment horizontal="center" wrapText="1"/>
    </xf>
    <xf numFmtId="49" fontId="114" fillId="0" borderId="14" xfId="172" applyNumberFormat="1" applyFont="1" applyFill="1" applyBorder="1" applyAlignment="1">
      <alignment horizontal="center" vertical="center"/>
    </xf>
    <xf numFmtId="49" fontId="114" fillId="0" borderId="14" xfId="172" applyNumberFormat="1" applyFont="1" applyFill="1" applyBorder="1" applyAlignment="1">
      <alignment horizontal="center" vertical="center" wrapText="1"/>
    </xf>
    <xf numFmtId="49" fontId="93" fillId="0" borderId="16" xfId="172" applyNumberFormat="1" applyFont="1" applyFill="1" applyBorder="1" applyAlignment="1">
      <alignment horizontal="left"/>
    </xf>
    <xf numFmtId="173" fontId="93" fillId="0" borderId="16" xfId="172" applyNumberFormat="1" applyFont="1" applyFill="1" applyBorder="1"/>
    <xf numFmtId="49" fontId="1" fillId="0" borderId="16" xfId="172" applyNumberFormat="1" applyFill="1" applyBorder="1" applyAlignment="1">
      <alignment horizontal="left"/>
    </xf>
    <xf numFmtId="173" fontId="1" fillId="0" borderId="16" xfId="172" applyNumberFormat="1" applyFill="1" applyBorder="1"/>
    <xf numFmtId="173" fontId="115" fillId="0" borderId="16" xfId="172" applyNumberFormat="1" applyFont="1" applyFill="1" applyBorder="1"/>
    <xf numFmtId="49" fontId="93" fillId="0" borderId="53" xfId="172" applyNumberFormat="1" applyFont="1" applyFill="1" applyBorder="1" applyAlignment="1">
      <alignment horizontal="left"/>
    </xf>
    <xf numFmtId="174" fontId="93" fillId="0" borderId="53" xfId="172" applyNumberFormat="1" applyFont="1" applyFill="1" applyBorder="1"/>
    <xf numFmtId="174" fontId="93" fillId="0" borderId="16" xfId="172" applyNumberFormat="1" applyFont="1" applyFill="1" applyBorder="1"/>
    <xf numFmtId="49" fontId="93" fillId="0" borderId="15" xfId="172" applyNumberFormat="1" applyFont="1" applyFill="1" applyBorder="1" applyAlignment="1">
      <alignment horizontal="left"/>
    </xf>
    <xf numFmtId="173" fontId="93" fillId="0" borderId="15" xfId="172" applyNumberFormat="1" applyFont="1" applyFill="1" applyBorder="1"/>
    <xf numFmtId="173" fontId="116" fillId="0" borderId="16" xfId="172" applyNumberFormat="1" applyFont="1" applyFill="1" applyBorder="1"/>
    <xf numFmtId="173" fontId="117" fillId="0" borderId="16" xfId="172" applyNumberFormat="1" applyFont="1" applyFill="1" applyBorder="1"/>
    <xf numFmtId="175" fontId="117" fillId="0" borderId="16" xfId="172" applyNumberFormat="1" applyFont="1" applyFill="1" applyBorder="1"/>
    <xf numFmtId="174" fontId="118" fillId="0" borderId="53" xfId="172" applyNumberFormat="1" applyFont="1" applyFill="1" applyBorder="1"/>
    <xf numFmtId="173" fontId="118" fillId="0" borderId="16" xfId="172" applyNumberFormat="1" applyFont="1" applyFill="1" applyBorder="1"/>
    <xf numFmtId="175" fontId="1" fillId="0" borderId="0" xfId="172" applyNumberFormat="1" applyFill="1"/>
    <xf numFmtId="49" fontId="93" fillId="0" borderId="14" xfId="172" applyNumberFormat="1" applyFont="1" applyFill="1" applyBorder="1" applyAlignment="1">
      <alignment horizontal="left"/>
    </xf>
    <xf numFmtId="174" fontId="93" fillId="0" borderId="14" xfId="172" applyNumberFormat="1" applyFont="1" applyFill="1" applyBorder="1"/>
    <xf numFmtId="4" fontId="1" fillId="0" borderId="0" xfId="172" applyNumberFormat="1" applyFill="1"/>
    <xf numFmtId="0" fontId="35" fillId="0" borderId="0" xfId="144"/>
    <xf numFmtId="0" fontId="51" fillId="0" borderId="0" xfId="144" applyFont="1" applyAlignment="1">
      <alignment horizontal="right"/>
    </xf>
    <xf numFmtId="0" fontId="51" fillId="0" borderId="0" xfId="144" applyFont="1" applyFill="1" applyAlignment="1">
      <alignment horizontal="right"/>
    </xf>
    <xf numFmtId="0" fontId="110" fillId="0" borderId="0" xfId="144" applyFont="1" applyAlignment="1">
      <alignment horizontal="centerContinuous"/>
    </xf>
    <xf numFmtId="0" fontId="119" fillId="0" borderId="0" xfId="144" applyFont="1" applyAlignment="1">
      <alignment horizontal="centerContinuous"/>
    </xf>
    <xf numFmtId="0" fontId="119" fillId="0" borderId="0" xfId="144" applyFont="1" applyFill="1" applyAlignment="1">
      <alignment horizontal="centerContinuous"/>
    </xf>
    <xf numFmtId="0" fontId="35" fillId="0" borderId="0" xfId="144" applyAlignment="1">
      <alignment horizontal="centerContinuous"/>
    </xf>
    <xf numFmtId="0" fontId="120" fillId="0" borderId="0" xfId="144" applyFont="1" applyAlignment="1">
      <alignment horizontal="centerContinuous"/>
    </xf>
    <xf numFmtId="0" fontId="35" fillId="0" borderId="0" xfId="144" applyFill="1" applyAlignment="1">
      <alignment horizontal="centerContinuous"/>
    </xf>
    <xf numFmtId="0" fontId="111" fillId="0" borderId="0" xfId="144" applyFont="1"/>
    <xf numFmtId="0" fontId="111" fillId="0" borderId="0" xfId="144" applyFont="1" applyAlignment="1">
      <alignment horizontal="right"/>
    </xf>
    <xf numFmtId="0" fontId="111" fillId="0" borderId="0" xfId="144" applyFont="1" applyFill="1" applyAlignment="1">
      <alignment horizontal="right"/>
    </xf>
    <xf numFmtId="0" fontId="96" fillId="0" borderId="0" xfId="144" applyFont="1" applyAlignment="1">
      <alignment horizontal="right"/>
    </xf>
    <xf numFmtId="0" fontId="103" fillId="0" borderId="33" xfId="144" applyFont="1" applyBorder="1" applyAlignment="1">
      <alignment horizontal="center"/>
    </xf>
    <xf numFmtId="0" fontId="121" fillId="0" borderId="54" xfId="144" applyFont="1" applyBorder="1" applyAlignment="1">
      <alignment horizontal="centerContinuous"/>
    </xf>
    <xf numFmtId="0" fontId="121" fillId="0" borderId="46" xfId="144" applyFont="1" applyBorder="1" applyAlignment="1">
      <alignment horizontal="centerContinuous"/>
    </xf>
    <xf numFmtId="0" fontId="121" fillId="0" borderId="47" xfId="144" applyFont="1" applyBorder="1" applyAlignment="1">
      <alignment horizontal="centerContinuous"/>
    </xf>
    <xf numFmtId="0" fontId="121" fillId="0" borderId="55" xfId="144" applyFont="1" applyBorder="1" applyAlignment="1">
      <alignment horizontal="center"/>
    </xf>
    <xf numFmtId="0" fontId="121" fillId="0" borderId="55" xfId="144" applyFont="1" applyFill="1" applyBorder="1" applyAlignment="1">
      <alignment horizontal="center"/>
    </xf>
    <xf numFmtId="0" fontId="103" fillId="0" borderId="56" xfId="144" applyFont="1" applyBorder="1" applyAlignment="1">
      <alignment horizontal="center"/>
    </xf>
    <xf numFmtId="0" fontId="121" fillId="0" borderId="57" xfId="144" applyFont="1" applyBorder="1" applyAlignment="1">
      <alignment horizontal="center"/>
    </xf>
    <xf numFmtId="0" fontId="121" fillId="0" borderId="11" xfId="144" applyFont="1" applyBorder="1"/>
    <xf numFmtId="0" fontId="121" fillId="0" borderId="15" xfId="144" applyFont="1" applyBorder="1" applyAlignment="1">
      <alignment horizontal="center"/>
    </xf>
    <xf numFmtId="0" fontId="121" fillId="0" borderId="30" xfId="144" applyFont="1" applyBorder="1" applyAlignment="1"/>
    <xf numFmtId="0" fontId="121" fillId="0" borderId="30" xfId="144" applyFont="1" applyBorder="1"/>
    <xf numFmtId="0" fontId="121" fillId="0" borderId="30" xfId="144" applyFont="1" applyBorder="1" applyAlignment="1">
      <alignment horizontal="center"/>
    </xf>
    <xf numFmtId="0" fontId="121" fillId="0" borderId="30" xfId="144" applyFont="1" applyFill="1" applyBorder="1" applyAlignment="1">
      <alignment horizontal="center"/>
    </xf>
    <xf numFmtId="0" fontId="35" fillId="0" borderId="39" xfId="144" applyBorder="1" applyAlignment="1">
      <alignment horizontal="center"/>
    </xf>
    <xf numFmtId="0" fontId="121" fillId="0" borderId="57" xfId="144" applyFont="1" applyBorder="1"/>
    <xf numFmtId="0" fontId="121" fillId="0" borderId="30" xfId="144" applyFont="1" applyBorder="1" applyAlignment="1">
      <alignment horizontal="left"/>
    </xf>
    <xf numFmtId="0" fontId="121" fillId="0" borderId="39" xfId="144" applyFont="1" applyBorder="1"/>
    <xf numFmtId="0" fontId="103" fillId="0" borderId="30" xfId="144" applyFont="1" applyBorder="1" applyAlignment="1">
      <alignment horizontal="center"/>
    </xf>
    <xf numFmtId="0" fontId="96" fillId="0" borderId="30" xfId="144" applyFont="1" applyBorder="1" applyAlignment="1">
      <alignment horizontal="center"/>
    </xf>
    <xf numFmtId="0" fontId="121" fillId="0" borderId="58" xfId="144" applyFont="1" applyBorder="1"/>
    <xf numFmtId="0" fontId="121" fillId="0" borderId="59" xfId="144" applyFont="1" applyBorder="1"/>
    <xf numFmtId="0" fontId="121" fillId="0" borderId="32" xfId="144" applyFont="1" applyBorder="1" applyAlignment="1">
      <alignment horizontal="left"/>
    </xf>
    <xf numFmtId="0" fontId="121" fillId="0" borderId="32" xfId="144" applyFont="1" applyBorder="1"/>
    <xf numFmtId="49" fontId="103" fillId="0" borderId="30" xfId="144" applyNumberFormat="1" applyFont="1" applyFill="1" applyBorder="1" applyAlignment="1">
      <alignment horizontal="center"/>
    </xf>
    <xf numFmtId="49" fontId="103" fillId="0" borderId="32" xfId="144" applyNumberFormat="1" applyFont="1" applyBorder="1" applyAlignment="1">
      <alignment horizontal="center"/>
    </xf>
    <xf numFmtId="0" fontId="112" fillId="0" borderId="32" xfId="144" applyFont="1" applyBorder="1" applyAlignment="1">
      <alignment horizontal="center"/>
    </xf>
    <xf numFmtId="0" fontId="35" fillId="0" borderId="38" xfId="144" applyBorder="1" applyAlignment="1">
      <alignment horizontal="center"/>
    </xf>
    <xf numFmtId="0" fontId="97" fillId="0" borderId="60" xfId="144" applyFont="1" applyBorder="1" applyAlignment="1">
      <alignment horizontal="center"/>
    </xf>
    <xf numFmtId="0" fontId="97" fillId="0" borderId="61" xfId="144" applyFont="1" applyBorder="1" applyAlignment="1">
      <alignment horizontal="center"/>
    </xf>
    <xf numFmtId="0" fontId="97" fillId="0" borderId="36" xfId="144" applyFont="1" applyBorder="1" applyAlignment="1">
      <alignment horizontal="center"/>
    </xf>
    <xf numFmtId="0" fontId="97" fillId="0" borderId="36" xfId="144" applyFont="1" applyFill="1" applyBorder="1" applyAlignment="1">
      <alignment horizontal="center"/>
    </xf>
    <xf numFmtId="0" fontId="122" fillId="0" borderId="39" xfId="171" applyFont="1" applyBorder="1" applyAlignment="1">
      <alignment horizontal="center"/>
    </xf>
    <xf numFmtId="49" fontId="110" fillId="0" borderId="57" xfId="171" applyNumberFormat="1" applyFont="1" applyBorder="1" applyAlignment="1">
      <alignment horizontal="center"/>
    </xf>
    <xf numFmtId="49" fontId="110" fillId="0" borderId="11" xfId="171" applyNumberFormat="1" applyFont="1" applyBorder="1" applyAlignment="1">
      <alignment horizontal="center"/>
    </xf>
    <xf numFmtId="49" fontId="110" fillId="0" borderId="11" xfId="171" applyNumberFormat="1" applyFont="1" applyBorder="1" applyAlignment="1">
      <alignment horizontal="center" vertical="top"/>
    </xf>
    <xf numFmtId="0" fontId="120" fillId="0" borderId="30" xfId="171" applyFont="1" applyBorder="1" applyAlignment="1">
      <alignment horizontal="center"/>
    </xf>
    <xf numFmtId="0" fontId="110" fillId="0" borderId="30" xfId="171" applyFont="1" applyBorder="1" applyAlignment="1">
      <alignment horizontal="left"/>
    </xf>
    <xf numFmtId="172" fontId="110" fillId="0" borderId="30" xfId="171" applyNumberFormat="1" applyFont="1" applyBorder="1" applyAlignment="1"/>
    <xf numFmtId="164" fontId="110" fillId="0" borderId="30" xfId="144" applyNumberFormat="1" applyFont="1" applyBorder="1" applyAlignment="1"/>
    <xf numFmtId="0" fontId="123" fillId="0" borderId="39" xfId="171" applyFont="1" applyBorder="1" applyAlignment="1">
      <alignment horizontal="center"/>
    </xf>
    <xf numFmtId="0" fontId="51" fillId="0" borderId="57" xfId="171" applyFont="1" applyBorder="1"/>
    <xf numFmtId="49" fontId="123" fillId="0" borderId="11" xfId="171" applyNumberFormat="1" applyFont="1" applyBorder="1" applyAlignment="1">
      <alignment horizontal="center"/>
    </xf>
    <xf numFmtId="49" fontId="123" fillId="0" borderId="30" xfId="171" applyNumberFormat="1" applyFont="1" applyBorder="1" applyAlignment="1">
      <alignment horizontal="left"/>
    </xf>
    <xf numFmtId="0" fontId="123" fillId="0" borderId="30" xfId="171" applyFont="1" applyBorder="1" applyAlignment="1"/>
    <xf numFmtId="172" fontId="123" fillId="0" borderId="30" xfId="144" applyNumberFormat="1" applyFont="1" applyBorder="1" applyAlignment="1"/>
    <xf numFmtId="164" fontId="123" fillId="0" borderId="30" xfId="144" applyNumberFormat="1" applyFont="1" applyBorder="1" applyAlignment="1"/>
    <xf numFmtId="0" fontId="124" fillId="0" borderId="39" xfId="171" applyFont="1" applyBorder="1" applyAlignment="1">
      <alignment horizontal="center"/>
    </xf>
    <xf numFmtId="49" fontId="124" fillId="0" borderId="11" xfId="171" applyNumberFormat="1" applyFont="1" applyBorder="1" applyAlignment="1">
      <alignment horizontal="center"/>
    </xf>
    <xf numFmtId="49" fontId="124" fillId="0" borderId="30" xfId="171" applyNumberFormat="1" applyFont="1" applyBorder="1" applyAlignment="1">
      <alignment horizontal="left"/>
    </xf>
    <xf numFmtId="0" fontId="124" fillId="0" borderId="30" xfId="171" applyFont="1" applyBorder="1" applyAlignment="1"/>
    <xf numFmtId="172" fontId="124" fillId="0" borderId="30" xfId="144" applyNumberFormat="1" applyFont="1" applyBorder="1" applyAlignment="1"/>
    <xf numFmtId="164" fontId="124" fillId="0" borderId="30" xfId="144" applyNumberFormat="1" applyFont="1" applyBorder="1" applyAlignment="1"/>
    <xf numFmtId="0" fontId="96" fillId="0" borderId="39" xfId="171" applyFont="1" applyBorder="1" applyAlignment="1">
      <alignment horizontal="center"/>
    </xf>
    <xf numFmtId="0" fontId="97" fillId="0" borderId="57" xfId="144" applyFont="1" applyBorder="1"/>
    <xf numFmtId="0" fontId="97" fillId="0" borderId="11" xfId="144" applyFont="1" applyBorder="1"/>
    <xf numFmtId="0" fontId="97" fillId="0" borderId="11" xfId="144" applyFont="1" applyBorder="1" applyAlignment="1">
      <alignment horizontal="center"/>
    </xf>
    <xf numFmtId="49" fontId="97" fillId="0" borderId="30" xfId="144" applyNumberFormat="1" applyFont="1" applyBorder="1" applyAlignment="1">
      <alignment horizontal="center"/>
    </xf>
    <xf numFmtId="49" fontId="97" fillId="0" borderId="30" xfId="144" applyNumberFormat="1" applyFont="1" applyBorder="1" applyAlignment="1"/>
    <xf numFmtId="172" fontId="97" fillId="0" borderId="30" xfId="144" applyNumberFormat="1" applyFont="1" applyBorder="1" applyAlignment="1"/>
    <xf numFmtId="164" fontId="96" fillId="0" borderId="30" xfId="144" applyNumberFormat="1" applyFont="1" applyBorder="1" applyAlignment="1"/>
    <xf numFmtId="0" fontId="97" fillId="0" borderId="57" xfId="171" applyFont="1" applyBorder="1"/>
    <xf numFmtId="49" fontId="49" fillId="0" borderId="11" xfId="171" applyNumberFormat="1" applyFont="1" applyBorder="1" applyAlignment="1">
      <alignment horizontal="center"/>
    </xf>
    <xf numFmtId="49" fontId="49" fillId="0" borderId="30" xfId="171" applyNumberFormat="1" applyFont="1" applyBorder="1" applyAlignment="1">
      <alignment horizontal="left"/>
    </xf>
    <xf numFmtId="0" fontId="49" fillId="0" borderId="30" xfId="171" applyFont="1" applyBorder="1" applyAlignment="1"/>
    <xf numFmtId="172" fontId="49" fillId="0" borderId="30" xfId="144" applyNumberFormat="1" applyFont="1" applyBorder="1" applyAlignment="1"/>
    <xf numFmtId="172" fontId="49" fillId="0" borderId="30" xfId="144" applyNumberFormat="1" applyFont="1" applyFill="1" applyBorder="1" applyAlignment="1"/>
    <xf numFmtId="49" fontId="124" fillId="0" borderId="11" xfId="144" applyNumberFormat="1" applyFont="1" applyBorder="1" applyAlignment="1">
      <alignment horizontal="center"/>
    </xf>
    <xf numFmtId="49" fontId="124" fillId="0" borderId="30" xfId="144" applyNumberFormat="1" applyFont="1" applyBorder="1" applyAlignment="1">
      <alignment horizontal="left"/>
    </xf>
    <xf numFmtId="49" fontId="124" fillId="0" borderId="30" xfId="144" applyNumberFormat="1" applyFont="1" applyBorder="1" applyAlignment="1">
      <alignment wrapText="1"/>
    </xf>
    <xf numFmtId="0" fontId="97" fillId="0" borderId="30" xfId="144" applyFont="1" applyBorder="1" applyAlignment="1"/>
    <xf numFmtId="172" fontId="96" fillId="0" borderId="30" xfId="144" applyNumberFormat="1" applyFont="1" applyBorder="1" applyAlignment="1"/>
    <xf numFmtId="172" fontId="96" fillId="0" borderId="30" xfId="144" applyNumberFormat="1" applyFont="1" applyFill="1" applyBorder="1" applyAlignment="1"/>
    <xf numFmtId="0" fontId="97" fillId="0" borderId="30" xfId="144" applyFont="1" applyBorder="1" applyAlignment="1">
      <alignment horizontal="left"/>
    </xf>
    <xf numFmtId="49" fontId="124" fillId="0" borderId="30" xfId="144" applyNumberFormat="1" applyFont="1" applyBorder="1" applyAlignment="1">
      <alignment horizontal="center"/>
    </xf>
    <xf numFmtId="0" fontId="124" fillId="0" borderId="30" xfId="144" applyFont="1" applyBorder="1" applyAlignment="1">
      <alignment horizontal="justify"/>
    </xf>
    <xf numFmtId="49" fontId="49" fillId="0" borderId="11" xfId="171" applyNumberFormat="1" applyFont="1" applyFill="1" applyBorder="1" applyAlignment="1" applyProtection="1">
      <alignment horizontal="center"/>
      <protection locked="0"/>
    </xf>
    <xf numFmtId="49" fontId="49" fillId="0" borderId="30" xfId="171" applyNumberFormat="1" applyFont="1" applyBorder="1" applyAlignment="1">
      <alignment horizontal="center"/>
    </xf>
    <xf numFmtId="172" fontId="49" fillId="0" borderId="30" xfId="171" applyNumberFormat="1" applyFont="1" applyBorder="1" applyAlignment="1"/>
    <xf numFmtId="172" fontId="49" fillId="0" borderId="30" xfId="171" applyNumberFormat="1" applyFont="1" applyFill="1" applyBorder="1" applyAlignment="1"/>
    <xf numFmtId="0" fontId="96" fillId="0" borderId="57" xfId="171" applyFont="1" applyBorder="1"/>
    <xf numFmtId="49" fontId="96" fillId="0" borderId="11" xfId="171" applyNumberFormat="1" applyFont="1" applyFill="1" applyBorder="1" applyAlignment="1" applyProtection="1">
      <alignment horizontal="center"/>
      <protection locked="0"/>
    </xf>
    <xf numFmtId="49" fontId="124" fillId="0" borderId="30" xfId="171" applyNumberFormat="1" applyFont="1" applyBorder="1" applyAlignment="1">
      <alignment horizontal="center"/>
    </xf>
    <xf numFmtId="172" fontId="124" fillId="0" borderId="30" xfId="171" applyNumberFormat="1" applyFont="1" applyBorder="1" applyAlignment="1"/>
    <xf numFmtId="49" fontId="96" fillId="0" borderId="0" xfId="171" applyNumberFormat="1" applyFont="1" applyFill="1" applyBorder="1" applyAlignment="1" applyProtection="1">
      <alignment horizontal="center"/>
      <protection locked="0"/>
    </xf>
    <xf numFmtId="1" fontId="35" fillId="0" borderId="16" xfId="144" applyNumberFormat="1" applyFont="1" applyFill="1" applyBorder="1" applyAlignment="1">
      <alignment horizontal="left" vertical="top" wrapText="1"/>
    </xf>
    <xf numFmtId="1" fontId="96" fillId="0" borderId="16" xfId="144" applyNumberFormat="1" applyFont="1" applyFill="1" applyBorder="1" applyAlignment="1">
      <alignment horizontal="center"/>
    </xf>
    <xf numFmtId="0" fontId="96" fillId="0" borderId="39" xfId="144" applyFont="1" applyBorder="1" applyAlignment="1"/>
    <xf numFmtId="172" fontId="96" fillId="0" borderId="30" xfId="171" applyNumberFormat="1" applyFont="1" applyBorder="1" applyAlignment="1"/>
    <xf numFmtId="49" fontId="125" fillId="0" borderId="0" xfId="171" applyNumberFormat="1" applyFont="1" applyBorder="1" applyAlignment="1">
      <alignment horizontal="center"/>
    </xf>
    <xf numFmtId="1" fontId="96" fillId="0" borderId="62" xfId="144" applyNumberFormat="1" applyFont="1" applyFill="1" applyBorder="1" applyAlignment="1">
      <alignment horizontal="center"/>
    </xf>
    <xf numFmtId="49" fontId="96" fillId="0" borderId="39" xfId="144" applyNumberFormat="1" applyFont="1" applyBorder="1" applyAlignment="1"/>
    <xf numFmtId="0" fontId="96" fillId="0" borderId="39" xfId="144" applyNumberFormat="1" applyFont="1" applyFill="1" applyBorder="1" applyAlignment="1">
      <alignment horizontal="left"/>
    </xf>
    <xf numFmtId="49" fontId="96" fillId="0" borderId="11" xfId="171" applyNumberFormat="1" applyFont="1" applyBorder="1" applyAlignment="1">
      <alignment horizontal="center"/>
    </xf>
    <xf numFmtId="49" fontId="96" fillId="0" borderId="30" xfId="171" applyNumberFormat="1" applyFont="1" applyBorder="1" applyAlignment="1">
      <alignment horizontal="center"/>
    </xf>
    <xf numFmtId="0" fontId="96" fillId="0" borderId="30" xfId="171" applyFont="1" applyBorder="1" applyAlignment="1"/>
    <xf numFmtId="49" fontId="96" fillId="0" borderId="30" xfId="144" applyNumberFormat="1" applyFont="1" applyBorder="1" applyAlignment="1"/>
    <xf numFmtId="49" fontId="96" fillId="0" borderId="0" xfId="171" applyNumberFormat="1" applyFont="1" applyBorder="1" applyAlignment="1">
      <alignment horizontal="center"/>
    </xf>
    <xf numFmtId="49" fontId="96" fillId="0" borderId="62" xfId="171" applyNumberFormat="1" applyFont="1" applyBorder="1" applyAlignment="1">
      <alignment horizontal="center"/>
    </xf>
    <xf numFmtId="0" fontId="96" fillId="0" borderId="30" xfId="144" applyFont="1" applyBorder="1" applyAlignment="1"/>
    <xf numFmtId="49" fontId="124" fillId="0" borderId="62" xfId="171" applyNumberFormat="1" applyFont="1" applyBorder="1" applyAlignment="1">
      <alignment horizontal="center"/>
    </xf>
    <xf numFmtId="164" fontId="97" fillId="0" borderId="30" xfId="144" applyNumberFormat="1" applyFont="1" applyBorder="1" applyAlignment="1"/>
    <xf numFmtId="49" fontId="124" fillId="0" borderId="0" xfId="171" applyNumberFormat="1" applyFont="1" applyBorder="1" applyAlignment="1">
      <alignment horizontal="center"/>
    </xf>
    <xf numFmtId="0" fontId="96" fillId="0" borderId="30" xfId="144" applyFont="1" applyFill="1" applyBorder="1" applyAlignment="1"/>
    <xf numFmtId="172" fontId="124" fillId="0" borderId="30" xfId="171" applyNumberFormat="1" applyFont="1" applyFill="1" applyBorder="1" applyAlignment="1"/>
    <xf numFmtId="172" fontId="96" fillId="0" borderId="30" xfId="171" applyNumberFormat="1" applyFont="1" applyFill="1" applyBorder="1" applyAlignment="1"/>
    <xf numFmtId="43" fontId="96" fillId="0" borderId="0" xfId="144" applyNumberFormat="1" applyFont="1"/>
    <xf numFmtId="172" fontId="123" fillId="0" borderId="30" xfId="171" applyNumberFormat="1" applyFont="1" applyBorder="1" applyAlignment="1"/>
    <xf numFmtId="0" fontId="35" fillId="0" borderId="37" xfId="144" applyBorder="1"/>
    <xf numFmtId="0" fontId="35" fillId="0" borderId="58" xfId="144" applyBorder="1" applyAlignment="1">
      <alignment wrapText="1"/>
    </xf>
    <xf numFmtId="0" fontId="35" fillId="0" borderId="59" xfId="144" applyBorder="1" applyAlignment="1">
      <alignment wrapText="1"/>
    </xf>
    <xf numFmtId="0" fontId="126" fillId="0" borderId="32" xfId="144" applyFont="1" applyBorder="1" applyAlignment="1">
      <alignment horizontal="left" wrapText="1"/>
    </xf>
    <xf numFmtId="0" fontId="126" fillId="0" borderId="32" xfId="144" applyFont="1" applyBorder="1" applyAlignment="1">
      <alignment wrapText="1"/>
    </xf>
    <xf numFmtId="172" fontId="35" fillId="0" borderId="32" xfId="144" applyNumberFormat="1" applyBorder="1" applyAlignment="1"/>
    <xf numFmtId="172" fontId="35" fillId="0" borderId="32" xfId="144" applyNumberFormat="1" applyFill="1" applyBorder="1" applyAlignment="1"/>
    <xf numFmtId="164" fontId="124" fillId="0" borderId="37" xfId="144" applyNumberFormat="1" applyFont="1" applyBorder="1" applyAlignment="1"/>
    <xf numFmtId="176" fontId="103" fillId="0" borderId="0" xfId="144" applyNumberFormat="1" applyFont="1"/>
    <xf numFmtId="0" fontId="35" fillId="0" borderId="0" xfId="144" applyAlignment="1">
      <alignment wrapText="1"/>
    </xf>
    <xf numFmtId="0" fontId="35" fillId="0" borderId="0" xfId="144" applyFill="1"/>
    <xf numFmtId="172" fontId="35" fillId="0" borderId="0" xfId="144" applyNumberFormat="1"/>
    <xf numFmtId="172" fontId="122" fillId="0" borderId="30" xfId="171" applyNumberFormat="1" applyFont="1" applyBorder="1" applyAlignment="1"/>
    <xf numFmtId="164" fontId="103" fillId="0" borderId="30" xfId="144" applyNumberFormat="1" applyFont="1" applyBorder="1" applyAlignment="1"/>
    <xf numFmtId="49" fontId="49" fillId="0" borderId="57" xfId="171" applyNumberFormat="1" applyFont="1" applyBorder="1" applyAlignment="1">
      <alignment horizontal="center"/>
    </xf>
    <xf numFmtId="49" fontId="49" fillId="0" borderId="11" xfId="171" applyNumberFormat="1" applyFont="1" applyBorder="1" applyAlignment="1">
      <alignment horizontal="center" vertical="top"/>
    </xf>
    <xf numFmtId="0" fontId="111" fillId="0" borderId="30" xfId="171" applyFont="1" applyBorder="1" applyAlignment="1">
      <alignment horizontal="center"/>
    </xf>
    <xf numFmtId="0" fontId="49" fillId="0" borderId="30" xfId="171" applyFont="1" applyBorder="1" applyAlignment="1">
      <alignment horizontal="left"/>
    </xf>
    <xf numFmtId="0" fontId="125" fillId="0" borderId="57" xfId="171" applyFont="1" applyBorder="1"/>
    <xf numFmtId="0" fontId="125" fillId="0" borderId="11" xfId="171" applyFont="1" applyBorder="1"/>
    <xf numFmtId="0" fontId="124" fillId="0" borderId="30" xfId="144" applyFont="1" applyBorder="1" applyAlignment="1">
      <alignment wrapText="1"/>
    </xf>
    <xf numFmtId="49" fontId="96" fillId="0" borderId="30" xfId="144" applyNumberFormat="1" applyFont="1" applyBorder="1" applyAlignment="1">
      <alignment horizontal="left"/>
    </xf>
    <xf numFmtId="0" fontId="96" fillId="0" borderId="30" xfId="144" applyFont="1" applyBorder="1" applyAlignment="1">
      <alignment wrapText="1"/>
    </xf>
    <xf numFmtId="0" fontId="35" fillId="0" borderId="57" xfId="171" applyBorder="1"/>
    <xf numFmtId="0" fontId="35" fillId="0" borderId="11" xfId="171" applyBorder="1"/>
    <xf numFmtId="49" fontId="97" fillId="0" borderId="30" xfId="144" applyNumberFormat="1" applyFont="1" applyBorder="1" applyAlignment="1">
      <alignment horizontal="left"/>
    </xf>
    <xf numFmtId="0" fontId="97" fillId="0" borderId="11" xfId="171" applyFont="1" applyBorder="1"/>
    <xf numFmtId="0" fontId="97" fillId="0" borderId="30" xfId="144" applyFont="1" applyBorder="1" applyAlignment="1">
      <alignment wrapText="1"/>
    </xf>
    <xf numFmtId="49" fontId="97" fillId="0" borderId="30" xfId="144" applyNumberFormat="1" applyFont="1" applyBorder="1" applyAlignment="1">
      <alignment wrapText="1"/>
    </xf>
    <xf numFmtId="0" fontId="96" fillId="0" borderId="11" xfId="171" applyFont="1" applyBorder="1"/>
    <xf numFmtId="0" fontId="96" fillId="0" borderId="11" xfId="144" applyFont="1" applyBorder="1" applyAlignment="1">
      <alignment horizontal="center"/>
    </xf>
    <xf numFmtId="49" fontId="96" fillId="0" borderId="30" xfId="144" applyNumberFormat="1" applyFont="1" applyBorder="1" applyAlignment="1">
      <alignment horizontal="center"/>
    </xf>
    <xf numFmtId="49" fontId="96" fillId="0" borderId="30" xfId="144" applyNumberFormat="1" applyFont="1" applyBorder="1" applyAlignment="1">
      <alignment wrapText="1"/>
    </xf>
    <xf numFmtId="49" fontId="124" fillId="0" borderId="30" xfId="144" applyNumberFormat="1" applyFont="1" applyBorder="1" applyAlignment="1"/>
    <xf numFmtId="0" fontId="124" fillId="0" borderId="30" xfId="144" applyFont="1" applyBorder="1" applyAlignment="1"/>
    <xf numFmtId="0" fontId="32" fillId="0" borderId="0" xfId="78"/>
    <xf numFmtId="0" fontId="32" fillId="0" borderId="0" xfId="78" applyAlignment="1">
      <alignment horizontal="right"/>
    </xf>
    <xf numFmtId="0" fontId="110" fillId="0" borderId="0" xfId="78" applyFont="1" applyBorder="1" applyAlignment="1">
      <alignment horizontal="centerContinuous"/>
    </xf>
    <xf numFmtId="0" fontId="32" fillId="0" borderId="0" xfId="78" applyAlignment="1">
      <alignment horizontal="centerContinuous"/>
    </xf>
    <xf numFmtId="0" fontId="104" fillId="0" borderId="33" xfId="78" applyFont="1" applyBorder="1" applyAlignment="1">
      <alignment horizontal="center"/>
    </xf>
    <xf numFmtId="0" fontId="104" fillId="0" borderId="37" xfId="78" applyFont="1" applyBorder="1" applyAlignment="1">
      <alignment horizontal="center"/>
    </xf>
    <xf numFmtId="0" fontId="36" fillId="0" borderId="33" xfId="78" applyFont="1" applyBorder="1"/>
    <xf numFmtId="0" fontId="36" fillId="0" borderId="39" xfId="78" applyFont="1" applyBorder="1" applyAlignment="1">
      <alignment horizontal="center"/>
    </xf>
    <xf numFmtId="14" fontId="36" fillId="0" borderId="39" xfId="78" applyNumberFormat="1" applyFont="1" applyBorder="1"/>
    <xf numFmtId="0" fontId="36" fillId="0" borderId="39" xfId="78" applyFont="1" applyBorder="1"/>
    <xf numFmtId="177" fontId="36" fillId="0" borderId="39" xfId="78" applyNumberFormat="1" applyFont="1" applyBorder="1"/>
    <xf numFmtId="0" fontId="32" fillId="0" borderId="56" xfId="78" applyFont="1" applyBorder="1" applyAlignment="1">
      <alignment horizontal="right"/>
    </xf>
    <xf numFmtId="0" fontId="114" fillId="0" borderId="56" xfId="78" applyFont="1" applyBorder="1"/>
    <xf numFmtId="0" fontId="114" fillId="0" borderId="56" xfId="78" applyFont="1" applyBorder="1" applyAlignment="1">
      <alignment horizontal="center"/>
    </xf>
    <xf numFmtId="177" fontId="114" fillId="0" borderId="56" xfId="78" applyNumberFormat="1" applyFont="1" applyBorder="1"/>
    <xf numFmtId="0" fontId="118" fillId="0" borderId="0" xfId="78" applyFont="1"/>
    <xf numFmtId="0" fontId="32" fillId="0" borderId="63" xfId="78" applyFont="1" applyBorder="1" applyAlignment="1">
      <alignment horizontal="right"/>
    </xf>
    <xf numFmtId="0" fontId="114" fillId="0" borderId="63" xfId="78" applyFont="1" applyBorder="1"/>
    <xf numFmtId="0" fontId="114" fillId="0" borderId="63" xfId="78" applyFont="1" applyBorder="1" applyAlignment="1">
      <alignment horizontal="center"/>
    </xf>
    <xf numFmtId="177" fontId="114" fillId="0" borderId="63" xfId="78" applyNumberFormat="1" applyFont="1" applyBorder="1"/>
    <xf numFmtId="0" fontId="32" fillId="0" borderId="39" xfId="78" applyBorder="1"/>
    <xf numFmtId="14" fontId="36" fillId="0" borderId="39" xfId="78" applyNumberFormat="1" applyFont="1" applyBorder="1" applyAlignment="1">
      <alignment horizontal="center"/>
    </xf>
    <xf numFmtId="3" fontId="36" fillId="0" borderId="39" xfId="78" applyNumberFormat="1" applyFont="1" applyBorder="1" applyAlignment="1">
      <alignment horizontal="center"/>
    </xf>
    <xf numFmtId="0" fontId="114" fillId="0" borderId="39" xfId="78" applyFont="1" applyBorder="1" applyAlignment="1">
      <alignment horizontal="center"/>
    </xf>
    <xf numFmtId="3" fontId="114" fillId="0" borderId="39" xfId="78" applyNumberFormat="1" applyFont="1" applyBorder="1" applyAlignment="1">
      <alignment horizontal="center"/>
    </xf>
    <xf numFmtId="3" fontId="114" fillId="0" borderId="56" xfId="78" applyNumberFormat="1" applyFont="1" applyBorder="1" applyAlignment="1">
      <alignment horizontal="center"/>
    </xf>
    <xf numFmtId="41" fontId="36" fillId="0" borderId="39" xfId="78" applyNumberFormat="1" applyFont="1" applyBorder="1" applyAlignment="1">
      <alignment horizontal="center"/>
    </xf>
    <xf numFmtId="14" fontId="114" fillId="0" borderId="56" xfId="78" applyNumberFormat="1" applyFont="1" applyBorder="1" applyAlignment="1">
      <alignment horizontal="center"/>
    </xf>
    <xf numFmtId="41" fontId="114" fillId="0" borderId="56" xfId="78" applyNumberFormat="1" applyFont="1" applyBorder="1" applyAlignment="1">
      <alignment horizontal="center"/>
    </xf>
    <xf numFmtId="0" fontId="36" fillId="0" borderId="64" xfId="78" applyFont="1" applyBorder="1" applyAlignment="1">
      <alignment horizontal="center"/>
    </xf>
    <xf numFmtId="14" fontId="36" fillId="0" borderId="64" xfId="78" applyNumberFormat="1" applyFont="1" applyBorder="1" applyAlignment="1">
      <alignment horizontal="center"/>
    </xf>
    <xf numFmtId="41" fontId="36" fillId="0" borderId="64" xfId="78" applyNumberFormat="1" applyFont="1" applyBorder="1" applyAlignment="1">
      <alignment horizontal="center"/>
    </xf>
    <xf numFmtId="41" fontId="114" fillId="0" borderId="39" xfId="78" applyNumberFormat="1" applyFont="1" applyBorder="1" applyAlignment="1">
      <alignment horizontal="center"/>
    </xf>
    <xf numFmtId="0" fontId="32" fillId="0" borderId="39" xfId="78" applyFont="1" applyBorder="1" applyAlignment="1">
      <alignment horizontal="right"/>
    </xf>
    <xf numFmtId="0" fontId="32" fillId="0" borderId="65" xfId="78" applyBorder="1"/>
    <xf numFmtId="41" fontId="36" fillId="0" borderId="39" xfId="78" applyNumberFormat="1" applyFont="1" applyBorder="1"/>
    <xf numFmtId="0" fontId="114" fillId="0" borderId="39" xfId="78" applyFont="1" applyBorder="1"/>
    <xf numFmtId="41" fontId="114" fillId="0" borderId="39" xfId="78" applyNumberFormat="1" applyFont="1" applyBorder="1"/>
    <xf numFmtId="0" fontId="104" fillId="0" borderId="39" xfId="78" applyFont="1" applyBorder="1" applyAlignment="1">
      <alignment horizontal="center"/>
    </xf>
    <xf numFmtId="41" fontId="104" fillId="0" borderId="39" xfId="78" applyNumberFormat="1" applyFont="1" applyBorder="1"/>
    <xf numFmtId="0" fontId="36" fillId="0" borderId="0" xfId="78" applyFont="1"/>
    <xf numFmtId="0" fontId="93" fillId="0" borderId="39" xfId="78" applyFont="1" applyBorder="1"/>
    <xf numFmtId="0" fontId="127" fillId="0" borderId="56" xfId="78" applyFont="1" applyBorder="1" applyAlignment="1">
      <alignment horizontal="center"/>
    </xf>
    <xf numFmtId="41" fontId="127" fillId="0" borderId="56" xfId="78" applyNumberFormat="1" applyFont="1" applyBorder="1"/>
    <xf numFmtId="41" fontId="127" fillId="0" borderId="0" xfId="78" applyNumberFormat="1" applyFont="1"/>
    <xf numFmtId="0" fontId="127" fillId="0" borderId="0" xfId="78" applyFont="1"/>
    <xf numFmtId="41" fontId="36" fillId="0" borderId="64" xfId="78" applyNumberFormat="1" applyFont="1" applyBorder="1"/>
    <xf numFmtId="0" fontId="93" fillId="0" borderId="0" xfId="78" applyFont="1"/>
    <xf numFmtId="0" fontId="36" fillId="0" borderId="65" xfId="78" applyFont="1" applyBorder="1" applyAlignment="1">
      <alignment horizontal="center"/>
    </xf>
    <xf numFmtId="41" fontId="36" fillId="0" borderId="65" xfId="78" applyNumberFormat="1" applyFont="1" applyBorder="1"/>
    <xf numFmtId="0" fontId="105" fillId="0" borderId="39" xfId="78" applyFont="1" applyBorder="1" applyAlignment="1">
      <alignment horizontal="right"/>
    </xf>
    <xf numFmtId="0" fontId="104" fillId="0" borderId="56" xfId="78" applyFont="1" applyBorder="1" applyAlignment="1">
      <alignment horizontal="center"/>
    </xf>
    <xf numFmtId="41" fontId="104" fillId="0" borderId="56" xfId="78" applyNumberFormat="1" applyFont="1" applyBorder="1"/>
    <xf numFmtId="41" fontId="104" fillId="0" borderId="56" xfId="78" applyNumberFormat="1" applyFont="1" applyBorder="1" applyAlignment="1">
      <alignment horizontal="center"/>
    </xf>
    <xf numFmtId="0" fontId="36" fillId="0" borderId="64" xfId="78" applyFont="1" applyBorder="1"/>
    <xf numFmtId="41" fontId="104" fillId="0" borderId="39" xfId="78" applyNumberFormat="1" applyFont="1" applyBorder="1" applyAlignment="1">
      <alignment horizontal="center"/>
    </xf>
    <xf numFmtId="0" fontId="36" fillId="0" borderId="39" xfId="86" applyFont="1" applyBorder="1" applyAlignment="1">
      <alignment horizontal="center"/>
    </xf>
    <xf numFmtId="14" fontId="36" fillId="0" borderId="39" xfId="86" applyNumberFormat="1" applyFont="1" applyBorder="1" applyAlignment="1">
      <alignment horizontal="center"/>
    </xf>
    <xf numFmtId="41" fontId="36" fillId="0" borderId="39" xfId="86" applyNumberFormat="1" applyFont="1" applyBorder="1" applyAlignment="1">
      <alignment horizontal="right"/>
    </xf>
    <xf numFmtId="0" fontId="114" fillId="0" borderId="39" xfId="86" applyFont="1" applyFill="1" applyBorder="1" applyAlignment="1">
      <alignment horizontal="center"/>
    </xf>
    <xf numFmtId="14" fontId="114" fillId="0" borderId="39" xfId="86" applyNumberFormat="1" applyFont="1" applyFill="1" applyBorder="1" applyAlignment="1">
      <alignment horizontal="center"/>
    </xf>
    <xf numFmtId="41" fontId="114" fillId="0" borderId="39" xfId="86" applyNumberFormat="1" applyFont="1" applyFill="1" applyBorder="1" applyAlignment="1">
      <alignment horizontal="right"/>
    </xf>
    <xf numFmtId="0" fontId="118" fillId="0" borderId="0" xfId="78" applyFont="1" applyFill="1"/>
    <xf numFmtId="0" fontId="114" fillId="0" borderId="39" xfId="86" applyFont="1" applyBorder="1" applyAlignment="1">
      <alignment horizontal="center"/>
    </xf>
    <xf numFmtId="14" fontId="114" fillId="0" borderId="39" xfId="86" applyNumberFormat="1" applyFont="1" applyBorder="1" applyAlignment="1">
      <alignment horizontal="center"/>
    </xf>
    <xf numFmtId="41" fontId="114" fillId="0" borderId="39" xfId="86" applyNumberFormat="1" applyFont="1" applyBorder="1" applyAlignment="1">
      <alignment horizontal="right"/>
    </xf>
    <xf numFmtId="14" fontId="104" fillId="0" borderId="56" xfId="86" applyNumberFormat="1" applyFont="1" applyFill="1" applyBorder="1" applyAlignment="1">
      <alignment horizontal="center"/>
    </xf>
    <xf numFmtId="0" fontId="104" fillId="0" borderId="56" xfId="86" applyFont="1" applyFill="1" applyBorder="1" applyAlignment="1">
      <alignment horizontal="center"/>
    </xf>
    <xf numFmtId="41" fontId="104" fillId="0" borderId="56" xfId="86" applyNumberFormat="1" applyFont="1" applyFill="1" applyBorder="1" applyAlignment="1">
      <alignment horizontal="right"/>
    </xf>
    <xf numFmtId="0" fontId="93" fillId="0" borderId="0" xfId="78" applyFont="1" applyFill="1"/>
    <xf numFmtId="0" fontId="32" fillId="0" borderId="64" xfId="78" applyBorder="1"/>
    <xf numFmtId="0" fontId="36" fillId="0" borderId="39" xfId="139" applyFont="1" applyBorder="1" applyAlignment="1">
      <alignment horizontal="center"/>
    </xf>
    <xf numFmtId="14" fontId="36" fillId="0" borderId="39" xfId="139" applyNumberFormat="1" applyFont="1" applyBorder="1" applyAlignment="1">
      <alignment horizontal="center"/>
    </xf>
    <xf numFmtId="41" fontId="36" fillId="0" borderId="39" xfId="139" applyNumberFormat="1" applyFont="1" applyBorder="1" applyAlignment="1">
      <alignment horizontal="right"/>
    </xf>
    <xf numFmtId="0" fontId="114" fillId="0" borderId="39" xfId="139" applyFont="1" applyFill="1" applyBorder="1" applyAlignment="1">
      <alignment horizontal="center"/>
    </xf>
    <xf numFmtId="14" fontId="114" fillId="0" borderId="39" xfId="139" applyNumberFormat="1" applyFont="1" applyFill="1" applyBorder="1" applyAlignment="1">
      <alignment horizontal="center"/>
    </xf>
    <xf numFmtId="41" fontId="114" fillId="0" borderId="39" xfId="139" applyNumberFormat="1" applyFont="1" applyFill="1" applyBorder="1" applyAlignment="1">
      <alignment horizontal="right"/>
    </xf>
    <xf numFmtId="0" fontId="36" fillId="0" borderId="39" xfId="139" applyFont="1" applyFill="1" applyBorder="1" applyAlignment="1">
      <alignment horizontal="center"/>
    </xf>
    <xf numFmtId="14" fontId="36" fillId="0" borderId="39" xfId="139" applyNumberFormat="1" applyFont="1" applyFill="1" applyBorder="1" applyAlignment="1">
      <alignment horizontal="center"/>
    </xf>
    <xf numFmtId="41" fontId="36" fillId="0" borderId="39" xfId="139" applyNumberFormat="1" applyFont="1" applyFill="1" applyBorder="1" applyAlignment="1">
      <alignment horizontal="right"/>
    </xf>
    <xf numFmtId="0" fontId="32" fillId="0" borderId="0" xfId="78" applyFont="1"/>
    <xf numFmtId="14" fontId="104" fillId="0" borderId="56" xfId="139" applyNumberFormat="1" applyFont="1" applyFill="1" applyBorder="1" applyAlignment="1">
      <alignment horizontal="center"/>
    </xf>
    <xf numFmtId="0" fontId="104" fillId="0" borderId="56" xfId="139" applyFont="1" applyFill="1" applyBorder="1" applyAlignment="1">
      <alignment horizontal="center"/>
    </xf>
    <xf numFmtId="41" fontId="104" fillId="0" borderId="56" xfId="139" applyNumberFormat="1" applyFont="1" applyFill="1" applyBorder="1" applyAlignment="1">
      <alignment horizontal="right"/>
    </xf>
    <xf numFmtId="0" fontId="32" fillId="0" borderId="64" xfId="78" applyFill="1" applyBorder="1" applyAlignment="1">
      <alignment horizontal="center"/>
    </xf>
    <xf numFmtId="41" fontId="32" fillId="0" borderId="64" xfId="78" applyNumberFormat="1" applyFill="1" applyBorder="1"/>
    <xf numFmtId="14" fontId="104" fillId="0" borderId="39" xfId="139" applyNumberFormat="1" applyFont="1" applyFill="1" applyBorder="1" applyAlignment="1">
      <alignment horizontal="center"/>
    </xf>
    <xf numFmtId="0" fontId="104" fillId="0" borderId="39" xfId="139" applyFont="1" applyFill="1" applyBorder="1" applyAlignment="1">
      <alignment horizontal="center"/>
    </xf>
    <xf numFmtId="41" fontId="104" fillId="0" borderId="39" xfId="139" applyNumberFormat="1" applyFont="1" applyFill="1" applyBorder="1" applyAlignment="1">
      <alignment horizontal="right"/>
    </xf>
    <xf numFmtId="0" fontId="32" fillId="0" borderId="65" xfId="78" applyFill="1" applyBorder="1" applyAlignment="1">
      <alignment horizontal="center"/>
    </xf>
    <xf numFmtId="41" fontId="32" fillId="0" borderId="65" xfId="78" applyNumberFormat="1" applyFill="1" applyBorder="1"/>
    <xf numFmtId="0" fontId="36" fillId="0" borderId="39" xfId="78" applyFont="1" applyBorder="1" applyAlignment="1">
      <alignment horizontal="left"/>
    </xf>
    <xf numFmtId="0" fontId="36" fillId="0" borderId="56" xfId="78" applyFont="1" applyBorder="1"/>
    <xf numFmtId="41" fontId="36" fillId="0" borderId="39" xfId="78" applyNumberFormat="1" applyFont="1" applyBorder="1" applyAlignment="1"/>
    <xf numFmtId="41" fontId="104" fillId="0" borderId="56" xfId="78" applyNumberFormat="1" applyFont="1" applyBorder="1" applyAlignment="1"/>
    <xf numFmtId="0" fontId="32" fillId="0" borderId="39" xfId="78" applyFill="1" applyBorder="1" applyAlignment="1"/>
    <xf numFmtId="14" fontId="36" fillId="0" borderId="39" xfId="78" applyNumberFormat="1" applyFont="1" applyBorder="1" applyAlignment="1"/>
    <xf numFmtId="0" fontId="36" fillId="0" borderId="39" xfId="78" applyFont="1" applyBorder="1" applyAlignment="1"/>
    <xf numFmtId="0" fontId="93" fillId="0" borderId="39" xfId="78" applyFont="1" applyFill="1" applyBorder="1" applyAlignment="1"/>
    <xf numFmtId="0" fontId="104" fillId="0" borderId="39" xfId="78" applyFont="1" applyBorder="1" applyAlignment="1"/>
    <xf numFmtId="0" fontId="104" fillId="0" borderId="56" xfId="78" applyFont="1" applyBorder="1" applyAlignment="1"/>
    <xf numFmtId="0" fontId="104" fillId="0" borderId="0" xfId="78" applyFont="1" applyAlignment="1">
      <alignment horizontal="center"/>
    </xf>
    <xf numFmtId="41" fontId="32" fillId="0" borderId="64" xfId="78" applyNumberFormat="1" applyBorder="1"/>
    <xf numFmtId="0" fontId="36" fillId="0" borderId="63" xfId="78" applyFont="1" applyBorder="1" applyAlignment="1">
      <alignment horizontal="center"/>
    </xf>
    <xf numFmtId="0" fontId="104" fillId="0" borderId="63" xfId="78" applyFont="1" applyBorder="1" applyAlignment="1">
      <alignment horizontal="center"/>
    </xf>
    <xf numFmtId="41" fontId="104" fillId="0" borderId="63" xfId="78" applyNumberFormat="1" applyFont="1" applyBorder="1"/>
    <xf numFmtId="41" fontId="32" fillId="0" borderId="39" xfId="78" applyNumberFormat="1" applyBorder="1"/>
    <xf numFmtId="0" fontId="32" fillId="0" borderId="64" xfId="78" applyBorder="1" applyAlignment="1">
      <alignment horizontal="center"/>
    </xf>
    <xf numFmtId="41" fontId="32" fillId="0" borderId="64" xfId="78" applyNumberFormat="1" applyBorder="1" applyAlignment="1">
      <alignment horizontal="center"/>
    </xf>
    <xf numFmtId="0" fontId="36" fillId="0" borderId="56" xfId="78" applyFont="1" applyBorder="1" applyAlignment="1">
      <alignment horizontal="center"/>
    </xf>
    <xf numFmtId="41" fontId="32" fillId="0" borderId="65" xfId="78" applyNumberFormat="1" applyBorder="1"/>
    <xf numFmtId="0" fontId="104" fillId="0" borderId="56" xfId="78" applyFont="1" applyBorder="1"/>
    <xf numFmtId="4" fontId="32" fillId="0" borderId="0" xfId="78" applyNumberFormat="1"/>
    <xf numFmtId="0" fontId="36" fillId="0" borderId="0" xfId="78" applyFont="1" applyAlignment="1">
      <alignment horizontal="center"/>
    </xf>
    <xf numFmtId="0" fontId="118" fillId="0" borderId="39" xfId="78" applyFont="1" applyBorder="1"/>
    <xf numFmtId="0" fontId="32" fillId="0" borderId="37" xfId="78" applyFont="1" applyBorder="1" applyAlignment="1">
      <alignment horizontal="right"/>
    </xf>
    <xf numFmtId="0" fontId="114" fillId="0" borderId="37" xfId="78" applyFont="1" applyBorder="1" applyAlignment="1">
      <alignment horizontal="center"/>
    </xf>
    <xf numFmtId="41" fontId="114" fillId="0" borderId="37" xfId="78" applyNumberFormat="1" applyFont="1" applyBorder="1" applyAlignment="1">
      <alignment horizontal="center"/>
    </xf>
    <xf numFmtId="14" fontId="36" fillId="0" borderId="0" xfId="78" applyNumberFormat="1" applyFont="1" applyAlignment="1">
      <alignment horizontal="center"/>
    </xf>
    <xf numFmtId="41" fontId="32" fillId="0" borderId="0" xfId="78" applyNumberFormat="1"/>
    <xf numFmtId="0" fontId="12" fillId="0" borderId="14" xfId="41" applyFont="1" applyFill="1" applyBorder="1" applyAlignment="1">
      <alignment horizontal="center" wrapText="1"/>
    </xf>
    <xf numFmtId="0" fontId="13" fillId="0" borderId="14" xfId="41" applyFont="1" applyFill="1" applyBorder="1" applyAlignment="1">
      <alignment horizontal="center" wrapText="1"/>
    </xf>
    <xf numFmtId="0" fontId="69" fillId="0" borderId="14" xfId="41" applyFont="1" applyFill="1" applyBorder="1" applyAlignment="1">
      <alignment horizontal="center" wrapText="1"/>
    </xf>
    <xf numFmtId="0" fontId="12" fillId="0" borderId="14" xfId="41" applyFont="1" applyFill="1" applyBorder="1" applyAlignment="1">
      <alignment horizontal="center"/>
    </xf>
    <xf numFmtId="0" fontId="69" fillId="0" borderId="14" xfId="41" applyFont="1" applyFill="1" applyBorder="1" applyAlignment="1">
      <alignment horizontal="center"/>
    </xf>
    <xf numFmtId="0" fontId="113" fillId="0" borderId="0" xfId="172" applyFont="1" applyFill="1" applyAlignment="1">
      <alignment horizontal="center" wrapText="1"/>
    </xf>
    <xf numFmtId="0" fontId="93" fillId="0" borderId="0" xfId="0" applyFont="1" applyFill="1" applyAlignment="1">
      <alignment horizontal="justify" wrapText="1"/>
    </xf>
    <xf numFmtId="0" fontId="93" fillId="0" borderId="0" xfId="0" applyFont="1" applyFill="1" applyAlignment="1">
      <alignment wrapText="1"/>
    </xf>
    <xf numFmtId="0" fontId="32" fillId="0" borderId="0" xfId="0" applyFont="1" applyFill="1"/>
    <xf numFmtId="0" fontId="36" fillId="0" borderId="0" xfId="78" applyFont="1" applyFill="1"/>
    <xf numFmtId="9" fontId="32" fillId="0" borderId="0" xfId="80" applyFont="1" applyFill="1"/>
    <xf numFmtId="0" fontId="32" fillId="0" borderId="38" xfId="0" applyFont="1" applyFill="1" applyBorder="1" applyAlignment="1">
      <alignment horizontal="center"/>
    </xf>
    <xf numFmtId="0" fontId="32" fillId="0" borderId="38" xfId="0" applyFont="1" applyFill="1" applyBorder="1" applyAlignment="1">
      <alignment horizontal="center" wrapText="1"/>
    </xf>
    <xf numFmtId="0" fontId="32" fillId="0" borderId="38" xfId="0" applyFont="1" applyFill="1" applyBorder="1" applyAlignment="1">
      <alignment horizontal="center" wrapText="1"/>
    </xf>
    <xf numFmtId="0" fontId="32" fillId="0" borderId="38" xfId="0" applyFont="1" applyFill="1" applyBorder="1" applyAlignment="1">
      <alignment horizontal="center"/>
    </xf>
    <xf numFmtId="0" fontId="32" fillId="0" borderId="38" xfId="0" applyFont="1" applyFill="1" applyBorder="1"/>
    <xf numFmtId="3" fontId="32" fillId="0" borderId="38" xfId="0" applyNumberFormat="1" applyFont="1" applyFill="1" applyBorder="1" applyAlignment="1">
      <alignment horizontal="right"/>
    </xf>
    <xf numFmtId="0" fontId="32" fillId="0" borderId="30" xfId="0" applyFont="1" applyFill="1" applyBorder="1"/>
    <xf numFmtId="3" fontId="32" fillId="0" borderId="0" xfId="0" applyNumberFormat="1" applyFont="1" applyFill="1" applyBorder="1" applyAlignment="1">
      <alignment horizontal="right"/>
    </xf>
    <xf numFmtId="178" fontId="32" fillId="0" borderId="0" xfId="0" applyNumberFormat="1" applyFont="1" applyFill="1" applyBorder="1" applyAlignment="1">
      <alignment horizontal="right"/>
    </xf>
    <xf numFmtId="179" fontId="32" fillId="0" borderId="0" xfId="0" applyNumberFormat="1" applyFont="1" applyFill="1"/>
    <xf numFmtId="4" fontId="32" fillId="0" borderId="0" xfId="0" applyNumberFormat="1" applyFont="1" applyFill="1"/>
    <xf numFmtId="3" fontId="32" fillId="0" borderId="0" xfId="0" applyNumberFormat="1" applyFont="1" applyFill="1"/>
    <xf numFmtId="180" fontId="0" fillId="0" borderId="0" xfId="0" applyNumberFormat="1" applyFill="1"/>
    <xf numFmtId="0" fontId="93" fillId="0" borderId="0" xfId="0" applyFont="1" applyFill="1"/>
    <xf numFmtId="0" fontId="93" fillId="0" borderId="0" xfId="0" applyFont="1" applyFill="1" applyAlignment="1">
      <alignment horizontal="center"/>
    </xf>
    <xf numFmtId="0" fontId="128" fillId="0" borderId="0" xfId="0" applyFont="1" applyFill="1" applyAlignment="1"/>
    <xf numFmtId="0" fontId="128" fillId="0" borderId="66" xfId="0" applyFont="1" applyFill="1" applyBorder="1" applyAlignment="1"/>
    <xf numFmtId="0" fontId="93" fillId="0" borderId="38" xfId="0" applyFont="1" applyFill="1" applyBorder="1" applyAlignment="1">
      <alignment horizontal="center" wrapText="1"/>
    </xf>
    <xf numFmtId="3" fontId="32" fillId="0" borderId="38" xfId="0" applyNumberFormat="1" applyFont="1" applyFill="1" applyBorder="1" applyAlignment="1">
      <alignment horizontal="right" wrapText="1"/>
    </xf>
    <xf numFmtId="3" fontId="36" fillId="0" borderId="0" xfId="78" applyNumberFormat="1" applyFont="1" applyFill="1" applyBorder="1" applyAlignment="1">
      <alignment horizontal="right" wrapText="1"/>
    </xf>
    <xf numFmtId="3" fontId="36" fillId="0" borderId="0" xfId="78" applyNumberFormat="1" applyFont="1" applyFill="1"/>
    <xf numFmtId="0" fontId="32" fillId="0" borderId="0" xfId="159"/>
    <xf numFmtId="49" fontId="127" fillId="57" borderId="67" xfId="78" applyNumberFormat="1" applyFont="1" applyFill="1" applyBorder="1" applyAlignment="1">
      <alignment horizontal="center" vertical="center"/>
    </xf>
    <xf numFmtId="0" fontId="93" fillId="57" borderId="68" xfId="78" applyFont="1" applyFill="1" applyBorder="1" applyAlignment="1">
      <alignment horizontal="center" vertical="center" wrapText="1"/>
    </xf>
    <xf numFmtId="0" fontId="32" fillId="57" borderId="46" xfId="78" applyFill="1" applyBorder="1" applyAlignment="1"/>
    <xf numFmtId="0" fontId="32" fillId="0" borderId="47" xfId="78" applyBorder="1" applyAlignment="1"/>
    <xf numFmtId="49" fontId="127" fillId="57" borderId="69" xfId="78" applyNumberFormat="1" applyFont="1" applyFill="1" applyBorder="1" applyAlignment="1">
      <alignment horizontal="center" vertical="center"/>
    </xf>
    <xf numFmtId="0" fontId="93" fillId="57" borderId="14" xfId="78" applyFont="1" applyFill="1" applyBorder="1" applyAlignment="1">
      <alignment horizontal="center" vertical="center" wrapText="1"/>
    </xf>
    <xf numFmtId="0" fontId="93" fillId="57" borderId="70" xfId="78" applyFont="1" applyFill="1" applyBorder="1" applyAlignment="1">
      <alignment horizontal="center" vertical="center" wrapText="1"/>
    </xf>
    <xf numFmtId="0" fontId="93" fillId="57" borderId="71" xfId="78" applyFont="1" applyFill="1" applyBorder="1" applyAlignment="1">
      <alignment horizontal="center" vertical="center" wrapText="1"/>
    </xf>
    <xf numFmtId="180" fontId="93" fillId="0" borderId="69" xfId="159" applyNumberFormat="1" applyFont="1" applyFill="1" applyBorder="1" applyAlignment="1">
      <alignment horizontal="left" vertical="center"/>
    </xf>
    <xf numFmtId="3" fontId="93" fillId="0" borderId="14" xfId="159" applyNumberFormat="1" applyFont="1" applyFill="1" applyBorder="1"/>
    <xf numFmtId="3" fontId="32" fillId="0" borderId="14" xfId="159" applyNumberFormat="1" applyFont="1" applyFill="1" applyBorder="1"/>
    <xf numFmtId="10" fontId="32" fillId="0" borderId="71" xfId="159" applyNumberFormat="1" applyFont="1" applyFill="1" applyBorder="1"/>
    <xf numFmtId="10" fontId="129" fillId="0" borderId="71" xfId="159" applyNumberFormat="1" applyFont="1" applyFill="1" applyBorder="1"/>
    <xf numFmtId="180" fontId="93" fillId="57" borderId="72" xfId="78" applyNumberFormat="1" applyFont="1" applyFill="1" applyBorder="1" applyAlignment="1">
      <alignment horizontal="left" vertical="center"/>
    </xf>
    <xf numFmtId="3" fontId="32" fillId="57" borderId="73" xfId="78" applyNumberFormat="1" applyFont="1" applyFill="1" applyBorder="1"/>
    <xf numFmtId="3" fontId="32" fillId="58" borderId="73" xfId="78" applyNumberFormat="1" applyFont="1" applyFill="1" applyBorder="1"/>
    <xf numFmtId="10" fontId="32" fillId="57" borderId="74" xfId="78" applyNumberFormat="1" applyFont="1" applyFill="1" applyBorder="1"/>
    <xf numFmtId="180" fontId="93" fillId="0" borderId="75" xfId="78" applyNumberFormat="1" applyFont="1" applyFill="1" applyBorder="1" applyAlignment="1">
      <alignment horizontal="left" vertical="center"/>
    </xf>
    <xf numFmtId="3" fontId="93" fillId="0" borderId="76" xfId="159" applyNumberFormat="1" applyFont="1" applyFill="1" applyBorder="1"/>
    <xf numFmtId="3" fontId="32" fillId="0" borderId="73" xfId="78" applyNumberFormat="1" applyFont="1" applyFill="1" applyBorder="1"/>
    <xf numFmtId="10" fontId="32" fillId="0" borderId="74" xfId="78" applyNumberFormat="1" applyFont="1" applyFill="1" applyBorder="1"/>
    <xf numFmtId="180" fontId="93" fillId="57" borderId="58" xfId="78" applyNumberFormat="1" applyFont="1" applyFill="1" applyBorder="1" applyAlignment="1">
      <alignment horizontal="left" vertical="center"/>
    </xf>
    <xf numFmtId="3" fontId="32" fillId="57" borderId="53" xfId="78" applyNumberFormat="1" applyFont="1" applyFill="1" applyBorder="1"/>
    <xf numFmtId="10" fontId="32" fillId="57" borderId="77" xfId="78" applyNumberFormat="1" applyFont="1" applyFill="1" applyBorder="1"/>
    <xf numFmtId="17" fontId="93" fillId="0" borderId="66" xfId="78" applyNumberFormat="1" applyFont="1" applyBorder="1" applyAlignment="1">
      <alignment horizontal="center"/>
    </xf>
    <xf numFmtId="0" fontId="93" fillId="0" borderId="66" xfId="78" applyFont="1" applyBorder="1" applyAlignment="1">
      <alignment horizontal="center"/>
    </xf>
    <xf numFmtId="0" fontId="32" fillId="0" borderId="38" xfId="78" applyFont="1" applyFill="1" applyBorder="1" applyAlignment="1">
      <alignment wrapText="1"/>
    </xf>
    <xf numFmtId="3" fontId="32" fillId="0" borderId="38" xfId="78" applyNumberFormat="1" applyFont="1" applyFill="1" applyBorder="1" applyAlignment="1">
      <alignment horizontal="right" vertical="center" wrapText="1"/>
    </xf>
    <xf numFmtId="0" fontId="32" fillId="0" borderId="38" xfId="78" applyFont="1" applyFill="1" applyBorder="1" applyAlignment="1">
      <alignment vertical="center"/>
    </xf>
    <xf numFmtId="4" fontId="32" fillId="0" borderId="38" xfId="78" applyNumberFormat="1" applyFont="1" applyFill="1" applyBorder="1" applyAlignment="1">
      <alignment horizontal="justify" wrapText="1"/>
    </xf>
    <xf numFmtId="181" fontId="32" fillId="0" borderId="38" xfId="78" applyNumberFormat="1" applyFont="1" applyFill="1" applyBorder="1" applyAlignment="1">
      <alignment horizontal="right" vertical="center" wrapText="1"/>
    </xf>
    <xf numFmtId="181" fontId="32" fillId="0" borderId="38" xfId="80" applyNumberFormat="1" applyFont="1" applyFill="1" applyBorder="1" applyAlignment="1">
      <alignment horizontal="right" vertical="center" wrapText="1"/>
    </xf>
    <xf numFmtId="2" fontId="32" fillId="0" borderId="0" xfId="159" applyNumberFormat="1"/>
    <xf numFmtId="3" fontId="32" fillId="0" borderId="0" xfId="159" applyNumberFormat="1"/>
    <xf numFmtId="4" fontId="32" fillId="0" borderId="38" xfId="78" applyNumberFormat="1" applyFont="1" applyFill="1" applyBorder="1" applyAlignment="1">
      <alignment wrapText="1"/>
    </xf>
    <xf numFmtId="4" fontId="12" fillId="0" borderId="38" xfId="78" applyNumberFormat="1" applyFont="1" applyFill="1" applyBorder="1" applyAlignment="1">
      <alignment horizontal="left" wrapText="1"/>
    </xf>
    <xf numFmtId="3" fontId="32" fillId="59" borderId="38" xfId="78" applyNumberFormat="1" applyFont="1" applyFill="1" applyBorder="1" applyAlignment="1">
      <alignment horizontal="right" wrapText="1"/>
    </xf>
    <xf numFmtId="181" fontId="32" fillId="0" borderId="38" xfId="78" applyNumberFormat="1" applyFont="1" applyFill="1" applyBorder="1" applyAlignment="1">
      <alignment horizontal="right" wrapText="1"/>
    </xf>
    <xf numFmtId="0" fontId="32" fillId="0" borderId="0" xfId="159" applyAlignment="1">
      <alignment wrapText="1"/>
    </xf>
    <xf numFmtId="169" fontId="0" fillId="0" borderId="0" xfId="173" applyFont="1"/>
    <xf numFmtId="4" fontId="32" fillId="0" borderId="0" xfId="159" applyNumberFormat="1"/>
    <xf numFmtId="0" fontId="32" fillId="0" borderId="38" xfId="78" applyFont="1" applyFill="1" applyBorder="1" applyAlignment="1">
      <alignment horizontal="left" wrapText="1"/>
    </xf>
    <xf numFmtId="0" fontId="32" fillId="0" borderId="0" xfId="174"/>
    <xf numFmtId="2" fontId="0" fillId="0" borderId="0" xfId="0" applyNumberFormat="1"/>
    <xf numFmtId="0" fontId="93" fillId="0" borderId="0" xfId="174" applyFont="1"/>
    <xf numFmtId="0" fontId="32" fillId="0" borderId="0" xfId="174" applyFont="1"/>
    <xf numFmtId="0" fontId="32" fillId="0" borderId="0" xfId="159" applyAlignment="1">
      <alignment horizontal="right"/>
    </xf>
    <xf numFmtId="0" fontId="93" fillId="0" borderId="66" xfId="175" applyFont="1" applyBorder="1" applyAlignment="1">
      <alignment horizontal="center"/>
    </xf>
    <xf numFmtId="0" fontId="93" fillId="0" borderId="66" xfId="176" applyFont="1" applyBorder="1" applyAlignment="1">
      <alignment horizontal="center"/>
    </xf>
    <xf numFmtId="0" fontId="32" fillId="0" borderId="0" xfId="175"/>
    <xf numFmtId="0" fontId="130" fillId="60" borderId="60" xfId="175" applyFont="1" applyFill="1" applyBorder="1" applyAlignment="1">
      <alignment horizontal="center" vertical="center"/>
    </xf>
    <xf numFmtId="3" fontId="130" fillId="60" borderId="52" xfId="175" applyNumberFormat="1" applyFont="1" applyFill="1" applyBorder="1" applyAlignment="1">
      <alignment horizontal="center" vertical="center"/>
    </xf>
    <xf numFmtId="4" fontId="93" fillId="60" borderId="52" xfId="175" applyNumberFormat="1" applyFont="1" applyFill="1" applyBorder="1" applyAlignment="1">
      <alignment horizontal="center" vertical="center" wrapText="1"/>
    </xf>
    <xf numFmtId="0" fontId="130" fillId="60" borderId="78" xfId="175" applyFont="1" applyFill="1" applyBorder="1" applyAlignment="1">
      <alignment horizontal="center" vertical="center" wrapText="1"/>
    </xf>
    <xf numFmtId="0" fontId="131" fillId="0" borderId="79" xfId="175" applyFont="1" applyFill="1" applyBorder="1" applyAlignment="1">
      <alignment horizontal="left"/>
    </xf>
    <xf numFmtId="4" fontId="131" fillId="0" borderId="13" xfId="175" applyNumberFormat="1" applyFont="1" applyFill="1" applyBorder="1" applyAlignment="1">
      <alignment horizontal="right"/>
    </xf>
    <xf numFmtId="4" fontId="32" fillId="0" borderId="13" xfId="175" applyNumberFormat="1" applyFont="1" applyBorder="1"/>
    <xf numFmtId="180" fontId="131" fillId="0" borderId="80" xfId="175" applyNumberFormat="1" applyFont="1" applyFill="1" applyBorder="1"/>
    <xf numFmtId="180" fontId="32" fillId="0" borderId="0" xfId="175" applyNumberFormat="1"/>
    <xf numFmtId="4" fontId="32" fillId="0" borderId="0" xfId="175" applyNumberFormat="1"/>
    <xf numFmtId="0" fontId="131" fillId="0" borderId="69" xfId="175" applyFont="1" applyFill="1" applyBorder="1" applyAlignment="1">
      <alignment horizontal="left"/>
    </xf>
    <xf numFmtId="4" fontId="131" fillId="0" borderId="14" xfId="175" applyNumberFormat="1" applyFont="1" applyFill="1" applyBorder="1" applyAlignment="1">
      <alignment horizontal="right"/>
    </xf>
    <xf numFmtId="4" fontId="32" fillId="0" borderId="14" xfId="175" applyNumberFormat="1" applyFont="1" applyBorder="1"/>
    <xf numFmtId="0" fontId="131" fillId="0" borderId="81" xfId="175" applyFont="1" applyFill="1" applyBorder="1" applyAlignment="1">
      <alignment horizontal="left"/>
    </xf>
    <xf numFmtId="4" fontId="131" fillId="0" borderId="82" xfId="175" applyNumberFormat="1" applyFont="1" applyFill="1" applyBorder="1" applyAlignment="1">
      <alignment horizontal="right"/>
    </xf>
    <xf numFmtId="4" fontId="32" fillId="0" borderId="15" xfId="175" applyNumberFormat="1" applyFont="1" applyBorder="1"/>
    <xf numFmtId="0" fontId="130" fillId="60" borderId="60" xfId="175" applyFont="1" applyFill="1" applyBorder="1" applyAlignment="1">
      <alignment horizontal="left"/>
    </xf>
    <xf numFmtId="4" fontId="130" fillId="60" borderId="52" xfId="175" applyNumberFormat="1" applyFont="1" applyFill="1" applyBorder="1" applyAlignment="1">
      <alignment horizontal="right"/>
    </xf>
    <xf numFmtId="4" fontId="132" fillId="60" borderId="52" xfId="175" applyNumberFormat="1" applyFont="1" applyFill="1" applyBorder="1" applyAlignment="1"/>
    <xf numFmtId="180" fontId="132" fillId="60" borderId="78" xfId="175" applyNumberFormat="1" applyFont="1" applyFill="1" applyBorder="1" applyAlignment="1"/>
    <xf numFmtId="2" fontId="32" fillId="0" borderId="0" xfId="175" applyNumberFormat="1"/>
    <xf numFmtId="0" fontId="133" fillId="0" borderId="0" xfId="175" applyFont="1" applyAlignment="1">
      <alignment horizontal="right" vertical="top"/>
    </xf>
    <xf numFmtId="0" fontId="32" fillId="0" borderId="0" xfId="175" applyFont="1" applyAlignment="1">
      <alignment wrapText="1"/>
    </xf>
    <xf numFmtId="0" fontId="32" fillId="0" borderId="0" xfId="176" applyAlignment="1">
      <alignment wrapText="1"/>
    </xf>
    <xf numFmtId="0" fontId="36" fillId="0" borderId="38" xfId="78" applyFont="1" applyBorder="1" applyAlignment="1">
      <alignment horizontal="center"/>
    </xf>
    <xf numFmtId="0" fontId="36" fillId="0" borderId="0" xfId="78" applyFont="1" applyBorder="1" applyAlignment="1"/>
    <xf numFmtId="0" fontId="36" fillId="0" borderId="38" xfId="78" applyFont="1" applyBorder="1"/>
    <xf numFmtId="0" fontId="36" fillId="0" borderId="38" xfId="78" applyFont="1" applyBorder="1" applyAlignment="1">
      <alignment horizontal="center" vertical="center" wrapText="1"/>
    </xf>
    <xf numFmtId="0" fontId="36" fillId="0" borderId="0" xfId="78" applyFont="1" applyBorder="1" applyAlignment="1">
      <alignment horizontal="center" vertical="center" wrapText="1"/>
    </xf>
    <xf numFmtId="3" fontId="36" fillId="0" borderId="38" xfId="0" applyNumberFormat="1" applyFont="1" applyBorder="1" applyAlignment="1"/>
    <xf numFmtId="3" fontId="36" fillId="0" borderId="38" xfId="78" applyNumberFormat="1" applyFont="1" applyBorder="1" applyAlignment="1"/>
    <xf numFmtId="3" fontId="36" fillId="0" borderId="0" xfId="78" applyNumberFormat="1" applyFont="1"/>
    <xf numFmtId="0" fontId="127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93" fillId="0" borderId="0" xfId="0" applyFont="1" applyFill="1" applyAlignment="1">
      <alignment horizontal="center" wrapText="1"/>
    </xf>
    <xf numFmtId="0" fontId="32" fillId="0" borderId="27" xfId="78" applyFont="1" applyFill="1" applyBorder="1" applyAlignment="1">
      <alignment horizontal="center" vertical="center" wrapText="1"/>
    </xf>
    <xf numFmtId="0" fontId="32" fillId="0" borderId="55" xfId="78" applyFont="1" applyFill="1" applyBorder="1" applyAlignment="1">
      <alignment horizontal="center" vertical="center" wrapText="1"/>
    </xf>
    <xf numFmtId="0" fontId="128" fillId="0" borderId="0" xfId="0" applyFont="1" applyFill="1" applyAlignment="1">
      <alignment vertical="center" wrapText="1"/>
    </xf>
    <xf numFmtId="0" fontId="32" fillId="0" borderId="31" xfId="78" applyFont="1" applyFill="1" applyBorder="1" applyAlignment="1">
      <alignment horizontal="center" vertical="center" wrapText="1"/>
    </xf>
    <xf numFmtId="0" fontId="32" fillId="0" borderId="32" xfId="78" applyFont="1" applyFill="1" applyBorder="1" applyAlignment="1">
      <alignment horizontal="center" vertical="center" wrapText="1"/>
    </xf>
    <xf numFmtId="0" fontId="32" fillId="0" borderId="37" xfId="78" applyFont="1" applyFill="1" applyBorder="1" applyAlignment="1">
      <alignment vertical="center" wrapText="1"/>
    </xf>
    <xf numFmtId="3" fontId="32" fillId="0" borderId="32" xfId="78" applyNumberFormat="1" applyFont="1" applyFill="1" applyBorder="1" applyAlignment="1">
      <alignment horizontal="right" vertical="center"/>
    </xf>
    <xf numFmtId="49" fontId="36" fillId="0" borderId="0" xfId="78" applyNumberFormat="1" applyFont="1" applyFill="1" applyBorder="1" applyAlignment="1">
      <alignment horizontal="center" vertical="center"/>
    </xf>
    <xf numFmtId="4" fontId="0" fillId="0" borderId="0" xfId="0" applyNumberFormat="1"/>
    <xf numFmtId="4" fontId="36" fillId="0" borderId="0" xfId="78" applyNumberFormat="1" applyFont="1"/>
    <xf numFmtId="0" fontId="3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" fontId="0" fillId="0" borderId="0" xfId="0" applyNumberFormat="1"/>
    <xf numFmtId="0" fontId="32" fillId="0" borderId="27" xfId="0" applyFont="1" applyFill="1" applyBorder="1" applyAlignment="1">
      <alignment horizontal="center" vertical="center" wrapText="1"/>
    </xf>
    <xf numFmtId="0" fontId="32" fillId="0" borderId="55" xfId="0" applyFont="1" applyFill="1" applyBorder="1" applyAlignment="1">
      <alignment horizontal="center" vertical="center" wrapText="1"/>
    </xf>
    <xf numFmtId="0" fontId="32" fillId="0" borderId="28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/>
    </xf>
    <xf numFmtId="0" fontId="32" fillId="0" borderId="31" xfId="0" applyFont="1" applyFill="1" applyBorder="1" applyAlignment="1">
      <alignment horizontal="center" vertical="center" wrapText="1"/>
    </xf>
    <xf numFmtId="0" fontId="32" fillId="0" borderId="32" xfId="0" applyFont="1" applyFill="1" applyBorder="1" applyAlignment="1">
      <alignment horizontal="center" vertical="center" wrapText="1"/>
    </xf>
    <xf numFmtId="49" fontId="32" fillId="0" borderId="38" xfId="0" applyNumberFormat="1" applyFont="1" applyFill="1" applyBorder="1" applyAlignment="1">
      <alignment horizontal="center" vertical="center"/>
    </xf>
    <xf numFmtId="0" fontId="32" fillId="0" borderId="37" xfId="0" applyFont="1" applyFill="1" applyBorder="1" applyAlignment="1">
      <alignment horizontal="center" vertical="center"/>
    </xf>
    <xf numFmtId="0" fontId="32" fillId="0" borderId="38" xfId="0" applyFont="1" applyFill="1" applyBorder="1" applyAlignment="1">
      <alignment vertical="center"/>
    </xf>
    <xf numFmtId="3" fontId="32" fillId="0" borderId="38" xfId="0" applyNumberFormat="1" applyFont="1" applyFill="1" applyBorder="1" applyAlignment="1">
      <alignment horizontal="right" vertical="center"/>
    </xf>
    <xf numFmtId="0" fontId="32" fillId="0" borderId="38" xfId="0" applyFont="1" applyFill="1" applyBorder="1" applyAlignment="1">
      <alignment horizontal="center" vertical="center"/>
    </xf>
    <xf numFmtId="3" fontId="36" fillId="0" borderId="0" xfId="78" applyNumberFormat="1" applyFont="1" applyFill="1" applyBorder="1" applyAlignment="1">
      <alignment horizontal="right"/>
    </xf>
    <xf numFmtId="17" fontId="36" fillId="0" borderId="0" xfId="78" applyNumberFormat="1" applyFont="1"/>
    <xf numFmtId="0" fontId="32" fillId="0" borderId="0" xfId="78" applyFill="1"/>
    <xf numFmtId="0" fontId="93" fillId="0" borderId="38" xfId="0" applyFont="1" applyFill="1" applyBorder="1" applyAlignment="1">
      <alignment horizontal="center" wrapText="1"/>
    </xf>
    <xf numFmtId="0" fontId="32" fillId="0" borderId="38" xfId="0" applyFont="1" applyFill="1" applyBorder="1" applyAlignment="1">
      <alignment horizontal="center" vertical="center" wrapText="1"/>
    </xf>
    <xf numFmtId="14" fontId="32" fillId="0" borderId="38" xfId="0" applyNumberFormat="1" applyFont="1" applyFill="1" applyBorder="1" applyAlignment="1">
      <alignment horizontal="center"/>
    </xf>
    <xf numFmtId="3" fontId="12" fillId="0" borderId="38" xfId="177" applyNumberFormat="1" applyFont="1" applyFill="1" applyBorder="1" applyAlignment="1">
      <alignment horizontal="right"/>
    </xf>
    <xf numFmtId="3" fontId="32" fillId="0" borderId="0" xfId="78" applyNumberFormat="1"/>
    <xf numFmtId="0" fontId="36" fillId="0" borderId="0" xfId="78" applyFont="1" applyFill="1" applyBorder="1" applyAlignment="1">
      <alignment horizontal="center" vertical="center"/>
    </xf>
    <xf numFmtId="0" fontId="36" fillId="0" borderId="0" xfId="78" applyFont="1" applyBorder="1" applyAlignment="1">
      <alignment horizontal="center" vertical="center"/>
    </xf>
    <xf numFmtId="0" fontId="36" fillId="0" borderId="0" xfId="78" applyFont="1" applyFill="1" applyAlignment="1">
      <alignment vertical="center"/>
    </xf>
    <xf numFmtId="0" fontId="93" fillId="56" borderId="60" xfId="0" applyFont="1" applyFill="1" applyBorder="1" applyAlignment="1">
      <alignment horizontal="center" vertical="center" wrapText="1"/>
    </xf>
    <xf numFmtId="0" fontId="93" fillId="56" borderId="52" xfId="0" applyFont="1" applyFill="1" applyBorder="1" applyAlignment="1">
      <alignment horizontal="center" vertical="center" wrapText="1"/>
    </xf>
    <xf numFmtId="0" fontId="93" fillId="56" borderId="78" xfId="0" applyFont="1" applyFill="1" applyBorder="1" applyAlignment="1">
      <alignment horizontal="center" vertical="center" wrapText="1"/>
    </xf>
    <xf numFmtId="0" fontId="93" fillId="56" borderId="61" xfId="0" applyFont="1" applyFill="1" applyBorder="1" applyAlignment="1">
      <alignment horizontal="center" vertical="center" wrapText="1"/>
    </xf>
    <xf numFmtId="1" fontId="93" fillId="56" borderId="52" xfId="0" applyNumberFormat="1" applyFont="1" applyFill="1" applyBorder="1" applyAlignment="1">
      <alignment horizontal="center" vertical="center" wrapText="1"/>
    </xf>
    <xf numFmtId="0" fontId="93" fillId="55" borderId="52" xfId="0" applyFont="1" applyFill="1" applyBorder="1" applyAlignment="1">
      <alignment horizontal="center" vertical="center" wrapText="1"/>
    </xf>
    <xf numFmtId="0" fontId="93" fillId="55" borderId="78" xfId="0" applyFont="1" applyFill="1" applyBorder="1" applyAlignment="1">
      <alignment horizontal="center" vertical="center" wrapText="1"/>
    </xf>
    <xf numFmtId="0" fontId="32" fillId="55" borderId="69" xfId="0" applyFont="1" applyFill="1" applyBorder="1" applyAlignment="1">
      <alignment horizontal="center" vertical="center"/>
    </xf>
    <xf numFmtId="0" fontId="32" fillId="55" borderId="14" xfId="0" applyFont="1" applyFill="1" applyBorder="1" applyAlignment="1">
      <alignment horizontal="center" vertical="center"/>
    </xf>
    <xf numFmtId="0" fontId="32" fillId="55" borderId="14" xfId="0" applyFont="1" applyFill="1" applyBorder="1" applyAlignment="1">
      <alignment vertical="center" wrapText="1"/>
    </xf>
    <xf numFmtId="49" fontId="32" fillId="55" borderId="14" xfId="0" applyNumberFormat="1" applyFont="1" applyFill="1" applyBorder="1" applyAlignment="1">
      <alignment horizontal="center" vertical="center"/>
    </xf>
    <xf numFmtId="3" fontId="32" fillId="55" borderId="14" xfId="0" applyNumberFormat="1" applyFont="1" applyFill="1" applyBorder="1" applyAlignment="1">
      <alignment horizontal="right" vertical="center" indent="1"/>
    </xf>
    <xf numFmtId="3" fontId="93" fillId="55" borderId="71" xfId="0" applyNumberFormat="1" applyFont="1" applyFill="1" applyBorder="1" applyAlignment="1">
      <alignment horizontal="right" vertical="center" indent="1"/>
    </xf>
    <xf numFmtId="0" fontId="32" fillId="55" borderId="14" xfId="0" applyNumberFormat="1" applyFont="1" applyFill="1" applyBorder="1" applyAlignment="1">
      <alignment horizontal="center" vertical="center"/>
    </xf>
    <xf numFmtId="0" fontId="32" fillId="55" borderId="14" xfId="0" applyFont="1" applyFill="1" applyBorder="1" applyAlignment="1">
      <alignment vertical="center"/>
    </xf>
    <xf numFmtId="0" fontId="32" fillId="55" borderId="69" xfId="0" applyFont="1" applyFill="1" applyBorder="1" applyAlignment="1">
      <alignment horizontal="center" vertical="center" wrapText="1"/>
    </xf>
    <xf numFmtId="0" fontId="134" fillId="0" borderId="34" xfId="0" applyFont="1" applyFill="1" applyBorder="1" applyAlignment="1">
      <alignment horizontal="left" vertical="center"/>
    </xf>
    <xf numFmtId="0" fontId="134" fillId="0" borderId="35" xfId="0" applyFont="1" applyFill="1" applyBorder="1" applyAlignment="1">
      <alignment horizontal="left" vertical="center"/>
    </xf>
    <xf numFmtId="3" fontId="93" fillId="0" borderId="34" xfId="0" applyNumberFormat="1" applyFont="1" applyFill="1" applyBorder="1" applyAlignment="1">
      <alignment horizontal="right" vertical="center" indent="1"/>
    </xf>
    <xf numFmtId="3" fontId="93" fillId="0" borderId="38" xfId="0" applyNumberFormat="1" applyFont="1" applyFill="1" applyBorder="1" applyAlignment="1">
      <alignment horizontal="right" vertical="center" indent="1"/>
    </xf>
    <xf numFmtId="0" fontId="134" fillId="0" borderId="0" xfId="0" applyFont="1" applyFill="1" applyBorder="1" applyAlignment="1">
      <alignment horizontal="left" vertical="center"/>
    </xf>
    <xf numFmtId="4" fontId="93" fillId="0" borderId="0" xfId="0" applyNumberFormat="1" applyFont="1" applyFill="1" applyBorder="1" applyAlignment="1">
      <alignment horizontal="right" vertical="center" indent="1"/>
    </xf>
    <xf numFmtId="0" fontId="36" fillId="0" borderId="0" xfId="78" applyFont="1" applyAlignment="1"/>
    <xf numFmtId="0" fontId="135" fillId="0" borderId="0" xfId="78" applyFont="1" applyFill="1" applyBorder="1" applyAlignment="1">
      <alignment horizontal="left"/>
    </xf>
    <xf numFmtId="0" fontId="36" fillId="0" borderId="0" xfId="78" applyFont="1" applyFill="1" applyBorder="1" applyAlignment="1">
      <alignment horizontal="left"/>
    </xf>
    <xf numFmtId="3" fontId="36" fillId="0" borderId="0" xfId="78" applyNumberFormat="1" applyFont="1" applyFill="1" applyBorder="1"/>
    <xf numFmtId="0" fontId="135" fillId="0" borderId="0" xfId="78" applyFont="1" applyBorder="1" applyAlignment="1">
      <alignment horizontal="center"/>
    </xf>
    <xf numFmtId="0" fontId="135" fillId="56" borderId="0" xfId="78" applyFont="1" applyFill="1" applyBorder="1" applyAlignment="1">
      <alignment vertical="top" wrapText="1"/>
    </xf>
    <xf numFmtId="0" fontId="135" fillId="56" borderId="0" xfId="78" applyFont="1" applyFill="1" applyBorder="1" applyAlignment="1">
      <alignment horizontal="left" vertical="top" wrapText="1"/>
    </xf>
    <xf numFmtId="0" fontId="135" fillId="56" borderId="0" xfId="78" applyFont="1" applyFill="1" applyBorder="1" applyAlignment="1">
      <alignment horizontal="left" vertical="top" wrapText="1"/>
    </xf>
    <xf numFmtId="0" fontId="36" fillId="0" borderId="0" xfId="78" applyFont="1" applyAlignment="1">
      <alignment horizontal="right"/>
    </xf>
    <xf numFmtId="0" fontId="36" fillId="0" borderId="0" xfId="78" applyFont="1" applyAlignment="1">
      <alignment horizontal="right" vertical="top"/>
    </xf>
    <xf numFmtId="3" fontId="36" fillId="56" borderId="0" xfId="78" applyNumberFormat="1" applyFont="1" applyFill="1" applyBorder="1" applyAlignment="1">
      <alignment horizontal="right" vertical="center"/>
    </xf>
    <xf numFmtId="1" fontId="36" fillId="0" borderId="0" xfId="78" applyNumberFormat="1" applyFont="1" applyFill="1" applyAlignment="1">
      <alignment horizontal="right"/>
    </xf>
    <xf numFmtId="0" fontId="135" fillId="0" borderId="0" xfId="78" applyFont="1" applyFill="1" applyBorder="1" applyAlignment="1">
      <alignment horizontal="center"/>
    </xf>
    <xf numFmtId="0" fontId="135" fillId="0" borderId="0" xfId="78" applyFont="1" applyFill="1" applyBorder="1" applyAlignment="1"/>
    <xf numFmtId="0" fontId="135" fillId="0" borderId="0" xfId="78" applyFont="1" applyFill="1" applyBorder="1" applyAlignment="1">
      <alignment horizontal="left" wrapText="1"/>
    </xf>
    <xf numFmtId="0" fontId="36" fillId="0" borderId="45" xfId="78" applyFont="1" applyFill="1" applyBorder="1" applyAlignment="1">
      <alignment horizontal="center" vertical="center"/>
    </xf>
    <xf numFmtId="0" fontId="104" fillId="61" borderId="15" xfId="0" applyFont="1" applyFill="1" applyBorder="1" applyAlignment="1">
      <alignment horizontal="center" vertical="center"/>
    </xf>
    <xf numFmtId="0" fontId="104" fillId="61" borderId="15" xfId="0" applyFont="1" applyFill="1" applyBorder="1" applyAlignment="1">
      <alignment horizontal="center" vertical="center" wrapText="1"/>
    </xf>
    <xf numFmtId="4" fontId="136" fillId="62" borderId="15" xfId="0" applyNumberFormat="1" applyFont="1" applyFill="1" applyBorder="1" applyAlignment="1">
      <alignment horizontal="center" vertical="center" wrapText="1"/>
    </xf>
    <xf numFmtId="0" fontId="104" fillId="61" borderId="70" xfId="78" applyFont="1" applyFill="1" applyBorder="1" applyAlignment="1">
      <alignment horizontal="center"/>
    </xf>
    <xf numFmtId="0" fontId="104" fillId="61" borderId="49" xfId="78" applyFont="1" applyFill="1" applyBorder="1" applyAlignment="1">
      <alignment horizontal="center"/>
    </xf>
    <xf numFmtId="0" fontId="104" fillId="61" borderId="41" xfId="78" applyFont="1" applyFill="1" applyBorder="1" applyAlignment="1">
      <alignment horizontal="center"/>
    </xf>
    <xf numFmtId="4" fontId="104" fillId="61" borderId="15" xfId="78" applyNumberFormat="1" applyFont="1" applyFill="1" applyBorder="1" applyAlignment="1">
      <alignment horizontal="center" vertical="center" wrapText="1"/>
    </xf>
    <xf numFmtId="0" fontId="104" fillId="61" borderId="13" xfId="0" applyFont="1" applyFill="1" applyBorder="1" applyAlignment="1">
      <alignment horizontal="center" vertical="center"/>
    </xf>
    <xf numFmtId="0" fontId="104" fillId="61" borderId="13" xfId="0" applyFont="1" applyFill="1" applyBorder="1" applyAlignment="1">
      <alignment horizontal="center" vertical="center" wrapText="1"/>
    </xf>
    <xf numFmtId="4" fontId="136" fillId="62" borderId="13" xfId="0" applyNumberFormat="1" applyFont="1" applyFill="1" applyBorder="1" applyAlignment="1">
      <alignment horizontal="center" vertical="center" wrapText="1"/>
    </xf>
    <xf numFmtId="0" fontId="104" fillId="61" borderId="14" xfId="78" applyFont="1" applyFill="1" applyBorder="1" applyAlignment="1">
      <alignment horizontal="center" vertical="center" wrapText="1"/>
    </xf>
    <xf numFmtId="4" fontId="104" fillId="61" borderId="14" xfId="78" applyNumberFormat="1" applyFont="1" applyFill="1" applyBorder="1" applyAlignment="1">
      <alignment horizontal="center" vertical="center" wrapText="1"/>
    </xf>
    <xf numFmtId="4" fontId="104" fillId="61" borderId="13" xfId="78" applyNumberFormat="1" applyFont="1" applyFill="1" applyBorder="1" applyAlignment="1">
      <alignment horizontal="center" vertical="center" wrapText="1"/>
    </xf>
    <xf numFmtId="49" fontId="32" fillId="55" borderId="14" xfId="0" applyNumberFormat="1" applyFont="1" applyFill="1" applyBorder="1" applyAlignment="1">
      <alignment horizontal="right" vertical="center"/>
    </xf>
    <xf numFmtId="3" fontId="32" fillId="55" borderId="14" xfId="0" applyNumberFormat="1" applyFont="1" applyFill="1" applyBorder="1" applyAlignment="1">
      <alignment horizontal="right" vertical="center"/>
    </xf>
    <xf numFmtId="3" fontId="32" fillId="55" borderId="14" xfId="0" applyNumberFormat="1" applyFont="1" applyFill="1" applyBorder="1" applyAlignment="1">
      <alignment horizontal="center" vertical="center" wrapText="1"/>
    </xf>
    <xf numFmtId="3" fontId="32" fillId="55" borderId="14" xfId="0" applyNumberFormat="1" applyFont="1" applyFill="1" applyBorder="1" applyAlignment="1">
      <alignment vertical="center"/>
    </xf>
    <xf numFmtId="14" fontId="32" fillId="55" borderId="14" xfId="0" applyNumberFormat="1" applyFont="1" applyFill="1" applyBorder="1" applyAlignment="1">
      <alignment vertical="center"/>
    </xf>
    <xf numFmtId="0" fontId="32" fillId="55" borderId="0" xfId="78" applyFont="1" applyFill="1" applyBorder="1"/>
    <xf numFmtId="0" fontId="32" fillId="55" borderId="14" xfId="0" applyNumberFormat="1" applyFont="1" applyFill="1" applyBorder="1" applyAlignment="1">
      <alignment horizontal="right" vertical="center"/>
    </xf>
    <xf numFmtId="0" fontId="32" fillId="55" borderId="14" xfId="0" applyFont="1" applyFill="1" applyBorder="1" applyAlignment="1">
      <alignment horizontal="center" vertical="center" wrapText="1"/>
    </xf>
    <xf numFmtId="0" fontId="32" fillId="55" borderId="14" xfId="0" applyFont="1" applyFill="1" applyBorder="1" applyAlignment="1">
      <alignment horizontal="right" vertical="center" wrapText="1"/>
    </xf>
    <xf numFmtId="0" fontId="32" fillId="55" borderId="15" xfId="0" applyFont="1" applyFill="1" applyBorder="1" applyAlignment="1">
      <alignment vertical="center"/>
    </xf>
    <xf numFmtId="14" fontId="32" fillId="55" borderId="14" xfId="0" applyNumberFormat="1" applyFont="1" applyFill="1" applyBorder="1" applyAlignment="1">
      <alignment horizontal="right" vertical="center" wrapText="1"/>
    </xf>
    <xf numFmtId="4" fontId="32" fillId="55" borderId="14" xfId="0" applyNumberFormat="1" applyFont="1" applyFill="1" applyBorder="1" applyAlignment="1">
      <alignment horizontal="right" vertical="center" wrapText="1"/>
    </xf>
    <xf numFmtId="4" fontId="32" fillId="55" borderId="14" xfId="0" applyNumberFormat="1" applyFont="1" applyFill="1" applyBorder="1" applyAlignment="1">
      <alignment vertical="center" wrapText="1"/>
    </xf>
    <xf numFmtId="0" fontId="32" fillId="55" borderId="14" xfId="0" applyFont="1" applyFill="1" applyBorder="1" applyAlignment="1">
      <alignment horizontal="left" vertical="center" wrapText="1"/>
    </xf>
    <xf numFmtId="4" fontId="32" fillId="55" borderId="14" xfId="0" applyNumberFormat="1" applyFont="1" applyFill="1" applyBorder="1" applyAlignment="1">
      <alignment vertical="center"/>
    </xf>
    <xf numFmtId="4" fontId="32" fillId="55" borderId="14" xfId="0" applyNumberFormat="1" applyFont="1" applyFill="1" applyBorder="1" applyAlignment="1">
      <alignment horizontal="right" vertical="center"/>
    </xf>
    <xf numFmtId="14" fontId="32" fillId="55" borderId="14" xfId="0" applyNumberFormat="1" applyFont="1" applyFill="1" applyBorder="1" applyAlignment="1">
      <alignment horizontal="right" vertical="center"/>
    </xf>
    <xf numFmtId="0" fontId="32" fillId="55" borderId="0" xfId="78" applyFont="1" applyFill="1" applyBorder="1" applyAlignment="1">
      <alignment vertical="top"/>
    </xf>
    <xf numFmtId="0" fontId="71" fillId="55" borderId="14" xfId="0" applyFont="1" applyFill="1" applyBorder="1" applyAlignment="1">
      <alignment vertical="center"/>
    </xf>
    <xf numFmtId="0" fontId="71" fillId="55" borderId="14" xfId="0" applyFont="1" applyFill="1" applyBorder="1" applyAlignment="1">
      <alignment horizontal="center" vertical="center" wrapText="1"/>
    </xf>
    <xf numFmtId="0" fontId="71" fillId="55" borderId="14" xfId="0" applyFont="1" applyFill="1" applyBorder="1" applyAlignment="1">
      <alignment horizontal="left" vertical="center" wrapText="1"/>
    </xf>
    <xf numFmtId="49" fontId="71" fillId="55" borderId="14" xfId="0" applyNumberFormat="1" applyFont="1" applyFill="1" applyBorder="1" applyAlignment="1">
      <alignment horizontal="right" vertical="center"/>
    </xf>
    <xf numFmtId="49" fontId="71" fillId="55" borderId="14" xfId="0" applyNumberFormat="1" applyFont="1" applyFill="1" applyBorder="1" applyAlignment="1">
      <alignment horizontal="center" vertical="center"/>
    </xf>
    <xf numFmtId="0" fontId="71" fillId="55" borderId="14" xfId="0" applyFont="1" applyFill="1" applyBorder="1" applyAlignment="1">
      <alignment horizontal="center" vertical="center"/>
    </xf>
    <xf numFmtId="14" fontId="71" fillId="55" borderId="14" xfId="0" applyNumberFormat="1" applyFont="1" applyFill="1" applyBorder="1" applyAlignment="1">
      <alignment vertical="center"/>
    </xf>
    <xf numFmtId="4" fontId="71" fillId="55" borderId="14" xfId="0" applyNumberFormat="1" applyFont="1" applyFill="1" applyBorder="1" applyAlignment="1">
      <alignment vertical="center"/>
    </xf>
    <xf numFmtId="0" fontId="71" fillId="55" borderId="14" xfId="178" applyFont="1" applyFill="1" applyBorder="1" applyAlignment="1">
      <alignment vertical="center" wrapText="1"/>
    </xf>
    <xf numFmtId="0" fontId="71" fillId="55" borderId="14" xfId="178" applyFont="1" applyFill="1" applyBorder="1" applyAlignment="1">
      <alignment horizontal="center" vertical="center" wrapText="1"/>
    </xf>
    <xf numFmtId="49" fontId="71" fillId="55" borderId="14" xfId="178" applyNumberFormat="1" applyFont="1" applyFill="1" applyBorder="1" applyAlignment="1">
      <alignment horizontal="center" vertical="center"/>
    </xf>
    <xf numFmtId="0" fontId="71" fillId="55" borderId="14" xfId="178" applyNumberFormat="1" applyFont="1" applyFill="1" applyBorder="1" applyAlignment="1">
      <alignment horizontal="right" vertical="center"/>
    </xf>
    <xf numFmtId="0" fontId="71" fillId="55" borderId="14" xfId="0" applyFont="1" applyFill="1" applyBorder="1" applyAlignment="1">
      <alignment horizontal="right" vertical="center" wrapText="1"/>
    </xf>
    <xf numFmtId="4" fontId="71" fillId="55" borderId="14" xfId="0" applyNumberFormat="1" applyFont="1" applyFill="1" applyBorder="1" applyAlignment="1">
      <alignment horizontal="right" vertical="center" wrapText="1"/>
    </xf>
    <xf numFmtId="14" fontId="71" fillId="55" borderId="14" xfId="0" applyNumberFormat="1" applyFont="1" applyFill="1" applyBorder="1" applyAlignment="1">
      <alignment horizontal="right" vertical="center"/>
    </xf>
    <xf numFmtId="0" fontId="32" fillId="55" borderId="0" xfId="78" applyFont="1" applyFill="1" applyBorder="1" applyAlignment="1"/>
    <xf numFmtId="0" fontId="71" fillId="55" borderId="14" xfId="0" applyFont="1" applyFill="1" applyBorder="1" applyAlignment="1">
      <alignment vertical="center" wrapText="1"/>
    </xf>
    <xf numFmtId="0" fontId="71" fillId="55" borderId="14" xfId="0" applyFont="1" applyFill="1" applyBorder="1" applyAlignment="1">
      <alignment horizontal="right" vertical="center"/>
    </xf>
    <xf numFmtId="14" fontId="71" fillId="55" borderId="14" xfId="0" applyNumberFormat="1" applyFont="1" applyFill="1" applyBorder="1" applyAlignment="1">
      <alignment horizontal="right" vertical="center" wrapText="1"/>
    </xf>
    <xf numFmtId="0" fontId="32" fillId="55" borderId="14" xfId="0" applyFont="1" applyFill="1" applyBorder="1" applyAlignment="1">
      <alignment horizontal="right" vertical="center"/>
    </xf>
    <xf numFmtId="1" fontId="32" fillId="55" borderId="14" xfId="0" applyNumberFormat="1" applyFont="1" applyFill="1" applyBorder="1" applyAlignment="1">
      <alignment horizontal="right" vertical="center"/>
    </xf>
    <xf numFmtId="1" fontId="32" fillId="55" borderId="14" xfId="0" applyNumberFormat="1" applyFont="1" applyFill="1" applyBorder="1" applyAlignment="1">
      <alignment horizontal="center" vertical="center"/>
    </xf>
    <xf numFmtId="0" fontId="32" fillId="55" borderId="0" xfId="78" applyFont="1" applyFill="1" applyBorder="1" applyAlignment="1">
      <alignment wrapText="1"/>
    </xf>
    <xf numFmtId="3" fontId="32" fillId="55" borderId="14" xfId="0" applyNumberFormat="1" applyFont="1" applyFill="1" applyBorder="1" applyAlignment="1">
      <alignment horizontal="right" vertical="center" wrapText="1"/>
    </xf>
    <xf numFmtId="0" fontId="32" fillId="55" borderId="0" xfId="78" applyFont="1" applyFill="1" applyBorder="1" applyAlignment="1">
      <alignment vertical="top" wrapText="1"/>
    </xf>
    <xf numFmtId="14" fontId="0" fillId="55" borderId="14" xfId="0" applyNumberFormat="1" applyFill="1" applyBorder="1" applyAlignment="1">
      <alignment vertical="center"/>
    </xf>
    <xf numFmtId="0" fontId="0" fillId="55" borderId="14" xfId="0" applyFill="1" applyBorder="1" applyAlignment="1">
      <alignment horizontal="center" vertical="center"/>
    </xf>
    <xf numFmtId="0" fontId="0" fillId="55" borderId="14" xfId="0" applyFill="1" applyBorder="1" applyAlignment="1">
      <alignment vertical="center" wrapText="1"/>
    </xf>
    <xf numFmtId="14" fontId="32" fillId="55" borderId="14" xfId="0" applyNumberFormat="1" applyFont="1" applyFill="1" applyBorder="1" applyAlignment="1">
      <alignment horizontal="center" vertical="center" wrapText="1"/>
    </xf>
    <xf numFmtId="4" fontId="32" fillId="55" borderId="14" xfId="0" applyNumberFormat="1" applyFont="1" applyFill="1" applyBorder="1" applyAlignment="1">
      <alignment horizontal="center" vertical="center" wrapText="1"/>
    </xf>
    <xf numFmtId="14" fontId="71" fillId="55" borderId="14" xfId="0" applyNumberFormat="1" applyFont="1" applyFill="1" applyBorder="1" applyAlignment="1">
      <alignment horizontal="center" vertical="center" wrapText="1"/>
    </xf>
    <xf numFmtId="4" fontId="32" fillId="55" borderId="14" xfId="0" applyNumberFormat="1" applyFont="1" applyFill="1" applyBorder="1" applyAlignment="1">
      <alignment horizontal="center" vertical="center"/>
    </xf>
    <xf numFmtId="0" fontId="32" fillId="55" borderId="15" xfId="0" applyFont="1" applyFill="1" applyBorder="1" applyAlignment="1">
      <alignment horizontal="center" vertical="center" wrapText="1"/>
    </xf>
    <xf numFmtId="14" fontId="32" fillId="55" borderId="15" xfId="0" applyNumberFormat="1" applyFont="1" applyFill="1" applyBorder="1" applyAlignment="1">
      <alignment vertical="center"/>
    </xf>
    <xf numFmtId="0" fontId="36" fillId="56" borderId="0" xfId="78" applyFont="1" applyFill="1" applyBorder="1"/>
    <xf numFmtId="0" fontId="104" fillId="57" borderId="70" xfId="0" applyFont="1" applyFill="1" applyBorder="1"/>
    <xf numFmtId="0" fontId="104" fillId="57" borderId="49" xfId="0" applyFont="1" applyFill="1" applyBorder="1"/>
    <xf numFmtId="0" fontId="104" fillId="57" borderId="49" xfId="0" applyFont="1" applyFill="1" applyBorder="1" applyAlignment="1">
      <alignment horizontal="right"/>
    </xf>
    <xf numFmtId="0" fontId="104" fillId="57" borderId="49" xfId="0" applyFont="1" applyFill="1" applyBorder="1" applyAlignment="1">
      <alignment horizontal="center"/>
    </xf>
    <xf numFmtId="182" fontId="104" fillId="57" borderId="14" xfId="0" applyNumberFormat="1" applyFont="1" applyFill="1" applyBorder="1" applyAlignment="1">
      <alignment horizontal="right"/>
    </xf>
    <xf numFmtId="4" fontId="104" fillId="57" borderId="14" xfId="0" applyNumberFormat="1" applyFont="1" applyFill="1" applyBorder="1" applyAlignment="1">
      <alignment horizontal="right"/>
    </xf>
    <xf numFmtId="3" fontId="104" fillId="57" borderId="14" xfId="0" applyNumberFormat="1" applyFont="1" applyFill="1" applyBorder="1" applyAlignment="1">
      <alignment horizontal="right"/>
    </xf>
    <xf numFmtId="3" fontId="104" fillId="57" borderId="14" xfId="78" applyNumberFormat="1" applyFont="1" applyFill="1" applyBorder="1" applyAlignment="1"/>
    <xf numFmtId="0" fontId="32" fillId="0" borderId="0" xfId="78" applyFill="1" applyBorder="1"/>
    <xf numFmtId="0" fontId="104" fillId="0" borderId="0" xfId="0" applyFont="1" applyFill="1" applyBorder="1"/>
    <xf numFmtId="0" fontId="104" fillId="0" borderId="0" xfId="0" applyFont="1" applyFill="1" applyBorder="1" applyAlignment="1">
      <alignment horizontal="right"/>
    </xf>
    <xf numFmtId="0" fontId="104" fillId="0" borderId="0" xfId="0" applyFont="1" applyFill="1" applyBorder="1" applyAlignment="1">
      <alignment horizontal="center"/>
    </xf>
    <xf numFmtId="180" fontId="104" fillId="0" borderId="0" xfId="0" applyNumberFormat="1" applyFont="1" applyFill="1" applyBorder="1" applyAlignment="1">
      <alignment horizontal="right"/>
    </xf>
    <xf numFmtId="180" fontId="104" fillId="0" borderId="0" xfId="78" applyNumberFormat="1" applyFont="1" applyFill="1" applyBorder="1" applyAlignment="1">
      <alignment horizontal="right"/>
    </xf>
    <xf numFmtId="0" fontId="93" fillId="0" borderId="0" xfId="78" applyFont="1" applyFill="1" applyAlignment="1">
      <alignment horizontal="left"/>
    </xf>
    <xf numFmtId="0" fontId="32" fillId="0" borderId="0" xfId="78" applyFont="1" applyFill="1"/>
    <xf numFmtId="0" fontId="32" fillId="0" borderId="0" xfId="78" applyFont="1" applyFill="1" applyAlignment="1">
      <alignment horizontal="right"/>
    </xf>
    <xf numFmtId="0" fontId="32" fillId="0" borderId="0" xfId="78" applyFont="1" applyFill="1" applyAlignment="1">
      <alignment horizontal="center"/>
    </xf>
    <xf numFmtId="0" fontId="32" fillId="56" borderId="0" xfId="78" applyFill="1" applyBorder="1"/>
    <xf numFmtId="4" fontId="32" fillId="0" borderId="0" xfId="78" applyNumberFormat="1" applyFont="1" applyFill="1"/>
    <xf numFmtId="0" fontId="32" fillId="0" borderId="0" xfId="78" applyFont="1" applyFill="1" applyBorder="1"/>
    <xf numFmtId="0" fontId="32" fillId="55" borderId="14" xfId="0" applyFont="1" applyFill="1" applyBorder="1" applyAlignment="1">
      <alignment horizontal="left" vertical="center"/>
    </xf>
    <xf numFmtId="0" fontId="32" fillId="55" borderId="14" xfId="0" applyNumberFormat="1" applyFont="1" applyFill="1" applyBorder="1" applyAlignment="1">
      <alignment horizontal="right" vertical="center" wrapText="1"/>
    </xf>
    <xf numFmtId="49" fontId="32" fillId="55" borderId="14" xfId="0" applyNumberFormat="1" applyFont="1" applyFill="1" applyBorder="1" applyAlignment="1">
      <alignment horizontal="center" vertical="center" wrapText="1"/>
    </xf>
    <xf numFmtId="3" fontId="32" fillId="55" borderId="13" xfId="0" applyNumberFormat="1" applyFont="1" applyFill="1" applyBorder="1" applyAlignment="1">
      <alignment horizontal="right" vertical="center" wrapText="1"/>
    </xf>
    <xf numFmtId="0" fontId="32" fillId="55" borderId="15" xfId="0" applyFont="1" applyFill="1" applyBorder="1" applyAlignment="1">
      <alignment horizontal="center" vertical="center"/>
    </xf>
    <xf numFmtId="0" fontId="32" fillId="55" borderId="15" xfId="0" applyFont="1" applyFill="1" applyBorder="1" applyAlignment="1">
      <alignment horizontal="left" vertical="center" wrapText="1"/>
    </xf>
    <xf numFmtId="0" fontId="32" fillId="55" borderId="15" xfId="0" applyFont="1" applyFill="1" applyBorder="1" applyAlignment="1">
      <alignment horizontal="right" vertical="center"/>
    </xf>
    <xf numFmtId="4" fontId="32" fillId="55" borderId="15" xfId="0" applyNumberFormat="1" applyFont="1" applyFill="1" applyBorder="1" applyAlignment="1">
      <alignment horizontal="right" vertical="center"/>
    </xf>
    <xf numFmtId="0" fontId="104" fillId="57" borderId="70" xfId="78" applyFont="1" applyFill="1" applyBorder="1" applyAlignment="1">
      <alignment vertical="top" wrapText="1"/>
    </xf>
    <xf numFmtId="0" fontId="36" fillId="57" borderId="49" xfId="78" applyFont="1" applyFill="1" applyBorder="1"/>
    <xf numFmtId="0" fontId="36" fillId="57" borderId="49" xfId="78" applyFont="1" applyFill="1" applyBorder="1" applyAlignment="1">
      <alignment horizontal="center"/>
    </xf>
    <xf numFmtId="3" fontId="104" fillId="57" borderId="14" xfId="78" applyNumberFormat="1" applyFont="1" applyFill="1" applyBorder="1" applyAlignment="1">
      <alignment horizontal="right"/>
    </xf>
    <xf numFmtId="4" fontId="104" fillId="57" borderId="49" xfId="78" applyNumberFormat="1" applyFont="1" applyFill="1" applyBorder="1"/>
    <xf numFmtId="4" fontId="104" fillId="57" borderId="41" xfId="78" applyNumberFormat="1" applyFont="1" applyFill="1" applyBorder="1"/>
    <xf numFmtId="3" fontId="104" fillId="57" borderId="49" xfId="78" applyNumberFormat="1" applyFont="1" applyFill="1" applyBorder="1"/>
    <xf numFmtId="3" fontId="104" fillId="57" borderId="14" xfId="78" applyNumberFormat="1" applyFont="1" applyFill="1" applyBorder="1"/>
    <xf numFmtId="3" fontId="104" fillId="57" borderId="70" xfId="78" applyNumberFormat="1" applyFont="1" applyFill="1" applyBorder="1"/>
    <xf numFmtId="0" fontId="32" fillId="56" borderId="0" xfId="78" applyFill="1" applyBorder="1" applyAlignment="1">
      <alignment horizontal="center"/>
    </xf>
    <xf numFmtId="0" fontId="32" fillId="56" borderId="0" xfId="78" applyFill="1"/>
    <xf numFmtId="4" fontId="32" fillId="56" borderId="0" xfId="78" applyNumberFormat="1" applyFill="1"/>
    <xf numFmtId="0" fontId="137" fillId="0" borderId="0" xfId="78" applyFont="1"/>
    <xf numFmtId="4" fontId="32" fillId="56" borderId="0" xfId="78" applyNumberFormat="1" applyFill="1" applyBorder="1"/>
    <xf numFmtId="0" fontId="138" fillId="56" borderId="0" xfId="78" applyFont="1" applyFill="1" applyBorder="1" applyAlignment="1"/>
    <xf numFmtId="0" fontId="139" fillId="0" borderId="0" xfId="78" applyFont="1" applyBorder="1"/>
    <xf numFmtId="0" fontId="32" fillId="0" borderId="0" xfId="78" applyAlignment="1">
      <alignment horizontal="center"/>
    </xf>
    <xf numFmtId="0" fontId="137" fillId="0" borderId="0" xfId="78" applyFont="1" applyBorder="1" applyAlignment="1">
      <alignment horizontal="center"/>
    </xf>
    <xf numFmtId="0" fontId="138" fillId="56" borderId="0" xfId="78" applyFont="1" applyFill="1" applyBorder="1" applyAlignment="1">
      <alignment horizontal="left" vertical="top"/>
    </xf>
    <xf numFmtId="0" fontId="138" fillId="0" borderId="0" xfId="78" applyFont="1" applyBorder="1" applyAlignment="1">
      <alignment horizontal="center"/>
    </xf>
    <xf numFmtId="4" fontId="32" fillId="0" borderId="0" xfId="78" applyNumberFormat="1" applyFill="1"/>
    <xf numFmtId="4" fontId="104" fillId="0" borderId="0" xfId="78" applyNumberFormat="1" applyFont="1" applyFill="1" applyBorder="1"/>
    <xf numFmtId="0" fontId="137" fillId="0" borderId="0" xfId="78" applyFont="1" applyFill="1" applyBorder="1" applyAlignment="1">
      <alignment horizontal="center"/>
    </xf>
    <xf numFmtId="0" fontId="137" fillId="56" borderId="0" xfId="78" applyFont="1" applyFill="1" applyBorder="1" applyAlignment="1">
      <alignment horizontal="center"/>
    </xf>
    <xf numFmtId="0" fontId="32" fillId="0" borderId="0" xfId="78" applyFill="1" applyBorder="1" applyAlignment="1">
      <alignment horizontal="center"/>
    </xf>
    <xf numFmtId="0" fontId="104" fillId="0" borderId="0" xfId="78" applyFont="1"/>
    <xf numFmtId="49" fontId="104" fillId="0" borderId="0" xfId="78" applyNumberFormat="1" applyFont="1"/>
    <xf numFmtId="0" fontId="32" fillId="0" borderId="0" xfId="78" applyBorder="1" applyAlignment="1">
      <alignment horizontal="center"/>
    </xf>
    <xf numFmtId="4" fontId="104" fillId="56" borderId="0" xfId="78" applyNumberFormat="1" applyFont="1" applyFill="1" applyBorder="1" applyAlignment="1">
      <alignment vertical="center" wrapText="1"/>
    </xf>
    <xf numFmtId="4" fontId="104" fillId="56" borderId="0" xfId="78" applyNumberFormat="1" applyFont="1" applyFill="1" applyBorder="1" applyAlignment="1">
      <alignment horizontal="center" vertical="center" wrapText="1"/>
    </xf>
    <xf numFmtId="4" fontId="104" fillId="56" borderId="0" xfId="78" applyNumberFormat="1" applyFont="1" applyFill="1" applyBorder="1" applyAlignment="1">
      <alignment horizontal="center" vertical="center"/>
    </xf>
    <xf numFmtId="4" fontId="36" fillId="56" borderId="0" xfId="78" applyNumberFormat="1" applyFont="1" applyFill="1" applyBorder="1" applyAlignment="1">
      <alignment vertical="top" wrapText="1"/>
    </xf>
    <xf numFmtId="4" fontId="32" fillId="56" borderId="0" xfId="78" applyNumberFormat="1" applyFont="1" applyFill="1" applyBorder="1" applyAlignment="1">
      <alignment horizontal="right" vertical="top" wrapText="1"/>
    </xf>
    <xf numFmtId="4" fontId="32" fillId="56" borderId="0" xfId="78" applyNumberFormat="1" applyFill="1" applyBorder="1" applyAlignment="1">
      <alignment vertical="top"/>
    </xf>
    <xf numFmtId="4" fontId="32" fillId="56" borderId="0" xfId="78" applyNumberFormat="1" applyFont="1" applyFill="1" applyBorder="1" applyAlignment="1">
      <alignment vertical="top"/>
    </xf>
    <xf numFmtId="4" fontId="104" fillId="56" borderId="0" xfId="78" applyNumberFormat="1" applyFont="1" applyFill="1" applyBorder="1"/>
    <xf numFmtId="4" fontId="140" fillId="56" borderId="0" xfId="78" applyNumberFormat="1" applyFont="1" applyFill="1" applyBorder="1"/>
  </cellXfs>
  <cellStyles count="179">
    <cellStyle name="20 % - zvýraznenie1" xfId="1" builtinId="30" customBuiltin="1"/>
    <cellStyle name="20 % - zvýraznenie1 2" xfId="91"/>
    <cellStyle name="20 % - zvýraznenie2" xfId="2" builtinId="34" customBuiltin="1"/>
    <cellStyle name="20 % - zvýraznenie2 2" xfId="92"/>
    <cellStyle name="20 % - zvýraznenie3" xfId="3" builtinId="38" customBuiltin="1"/>
    <cellStyle name="20 % - zvýraznenie3 2" xfId="93"/>
    <cellStyle name="20 % - zvýraznenie4" xfId="4" builtinId="42" customBuiltin="1"/>
    <cellStyle name="20 % - zvýraznenie4 2" xfId="94"/>
    <cellStyle name="20 % - zvýraznenie5" xfId="5" builtinId="46" customBuiltin="1"/>
    <cellStyle name="20 % - zvýraznenie5 2" xfId="95"/>
    <cellStyle name="20 % - zvýraznenie6" xfId="6" builtinId="50" customBuiltin="1"/>
    <cellStyle name="20 % - zvýraznenie6 2" xfId="96"/>
    <cellStyle name="40 % - zvýraznenie1" xfId="7" builtinId="31" customBuiltin="1"/>
    <cellStyle name="40 % - zvýraznenie1 2" xfId="97"/>
    <cellStyle name="40 % - zvýraznenie2" xfId="8" builtinId="35" customBuiltin="1"/>
    <cellStyle name="40 % - zvýraznenie2 2" xfId="98"/>
    <cellStyle name="40 % - zvýraznenie3" xfId="9" builtinId="39" customBuiltin="1"/>
    <cellStyle name="40 % - zvýraznenie3 2" xfId="99"/>
    <cellStyle name="40 % - zvýraznenie4" xfId="10" builtinId="43" customBuiltin="1"/>
    <cellStyle name="40 % - zvýraznenie4 2" xfId="100"/>
    <cellStyle name="40 % - zvýraznenie5" xfId="11" builtinId="47" customBuiltin="1"/>
    <cellStyle name="40 % - zvýraznenie5 2" xfId="101"/>
    <cellStyle name="40 % - zvýraznenie6" xfId="12" builtinId="51" customBuiltin="1"/>
    <cellStyle name="40 % - zvýraznenie6 2" xfId="102"/>
    <cellStyle name="60 % - zvýraznenie1" xfId="13" builtinId="32" customBuiltin="1"/>
    <cellStyle name="60 % - zvýraznenie1 2" xfId="103"/>
    <cellStyle name="60 % - zvýraznenie2" xfId="14" builtinId="36" customBuiltin="1"/>
    <cellStyle name="60 % - zvýraznenie2 2" xfId="104"/>
    <cellStyle name="60 % - zvýraznenie3" xfId="15" builtinId="40" customBuiltin="1"/>
    <cellStyle name="60 % - zvýraznenie3 2" xfId="105"/>
    <cellStyle name="60 % - zvýraznenie4" xfId="16" builtinId="44" customBuiltin="1"/>
    <cellStyle name="60 % - zvýraznenie4 2" xfId="106"/>
    <cellStyle name="60 % - zvýraznenie5" xfId="17" builtinId="48" customBuiltin="1"/>
    <cellStyle name="60 % - zvýraznenie5 2" xfId="107"/>
    <cellStyle name="60 % - zvýraznenie6" xfId="18" builtinId="52" customBuiltin="1"/>
    <cellStyle name="60 % - zvýraznenie6 2" xfId="108"/>
    <cellStyle name="Akcia" xfId="19"/>
    <cellStyle name="Cena_Sk" xfId="20"/>
    <cellStyle name="Comma [0]" xfId="21"/>
    <cellStyle name="Currency [0]" xfId="22"/>
    <cellStyle name="Čiarka" xfId="65" builtinId="3"/>
    <cellStyle name="Čiarka 2" xfId="68"/>
    <cellStyle name="Čiarka 3" xfId="70"/>
    <cellStyle name="Čiarka 4" xfId="72"/>
    <cellStyle name="Čiarka 5" xfId="74"/>
    <cellStyle name="Čiarka 6" xfId="76"/>
    <cellStyle name="Čiarka 7" xfId="142"/>
    <cellStyle name="Čiarka 7 2" xfId="148"/>
    <cellStyle name="Čiarka 7 2 2" xfId="173"/>
    <cellStyle name="Date" xfId="23"/>
    <cellStyle name="Dobrá" xfId="24" builtinId="26" customBuiltin="1"/>
    <cellStyle name="Dobrá 2" xfId="109"/>
    <cellStyle name="Euro" xfId="25"/>
    <cellStyle name="Fixed" xfId="26"/>
    <cellStyle name="Heading1" xfId="27"/>
    <cellStyle name="Heading2" xfId="28"/>
    <cellStyle name="Kontrolná bunka" xfId="29" builtinId="23" customBuiltin="1"/>
    <cellStyle name="Kontrolná bunka 2" xfId="110"/>
    <cellStyle name="Mena" xfId="167" builtinId="4"/>
    <cellStyle name="Nadpis 1" xfId="30" builtinId="16" customBuiltin="1"/>
    <cellStyle name="Nadpis 1 2" xfId="111"/>
    <cellStyle name="Nadpis 2" xfId="31" builtinId="17" customBuiltin="1"/>
    <cellStyle name="Nadpis 2 2" xfId="112"/>
    <cellStyle name="Nadpis 3" xfId="32" builtinId="18" customBuiltin="1"/>
    <cellStyle name="Nadpis 3 2" xfId="113"/>
    <cellStyle name="Nadpis 4" xfId="33" builtinId="19" customBuiltin="1"/>
    <cellStyle name="Nadpis 4 2" xfId="114"/>
    <cellStyle name="Nazov" xfId="34"/>
    <cellStyle name="Neutrálna" xfId="35" builtinId="28" customBuiltin="1"/>
    <cellStyle name="Neutrálna 2" xfId="115"/>
    <cellStyle name="Normal_Book1" xfId="36"/>
    <cellStyle name="Normálna" xfId="0" builtinId="0"/>
    <cellStyle name="Normálna 10" xfId="81"/>
    <cellStyle name="Normálna 11" xfId="82"/>
    <cellStyle name="Normálna 12" xfId="83"/>
    <cellStyle name="Normálna 13" xfId="84"/>
    <cellStyle name="Normálna 14" xfId="88"/>
    <cellStyle name="Normálna 15" xfId="134"/>
    <cellStyle name="Normálna 16" xfId="135"/>
    <cellStyle name="Normálna 17" xfId="136"/>
    <cellStyle name="Normálna 18" xfId="138"/>
    <cellStyle name="Normálna 19" xfId="141"/>
    <cellStyle name="Normálna 19 2" xfId="147"/>
    <cellStyle name="Normálna 19 2 2" xfId="159"/>
    <cellStyle name="Normálna 2" xfId="37"/>
    <cellStyle name="Normálna 2 2" xfId="78"/>
    <cellStyle name="Normálna 2 2 2" xfId="145"/>
    <cellStyle name="Normálna 2 3" xfId="143"/>
    <cellStyle name="Normálna 2 4" xfId="162"/>
    <cellStyle name="Normálna 20" xfId="149"/>
    <cellStyle name="Normálna 20 2" xfId="160"/>
    <cellStyle name="Normálna 21" xfId="150"/>
    <cellStyle name="Normálna 22" xfId="151"/>
    <cellStyle name="Normálna 23" xfId="154"/>
    <cellStyle name="Normálna 24" xfId="155"/>
    <cellStyle name="Normálna 25" xfId="158"/>
    <cellStyle name="Normálna 26" xfId="161"/>
    <cellStyle name="Normálna 27" xfId="163"/>
    <cellStyle name="Normálna 28" xfId="165"/>
    <cellStyle name="Normálna 29" xfId="172"/>
    <cellStyle name="Normálna 3" xfId="66"/>
    <cellStyle name="Normálna 3 2" xfId="87"/>
    <cellStyle name="Normálna 3 2 2" xfId="146"/>
    <cellStyle name="Normálna 3 3" xfId="89"/>
    <cellStyle name="Normálna 3 4" xfId="90"/>
    <cellStyle name="Normálna 3 5" xfId="132"/>
    <cellStyle name="Normálna 3 6" xfId="133"/>
    <cellStyle name="Normálna 3 7" xfId="144"/>
    <cellStyle name="Normálna 4" xfId="67"/>
    <cellStyle name="Normálna 4 2" xfId="86"/>
    <cellStyle name="Normálna 4 3" xfId="152"/>
    <cellStyle name="Normálna 4 4" xfId="164"/>
    <cellStyle name="Normálna 5" xfId="69"/>
    <cellStyle name="Normálna 5 2" xfId="139"/>
    <cellStyle name="Normálna 6" xfId="71"/>
    <cellStyle name="Normálna 6 2" xfId="157"/>
    <cellStyle name="Normálna 7" xfId="73"/>
    <cellStyle name="Normálna 7 2" xfId="156"/>
    <cellStyle name="Normálna 8" xfId="77"/>
    <cellStyle name="Normálna 9" xfId="79"/>
    <cellStyle name="normálne_06 SF Spolu PLNENIE 1-6 2012    11 07 2012" xfId="85"/>
    <cellStyle name="normálne_AA1_spôsoby vymáhania_12_10 " xfId="174"/>
    <cellStyle name="normálne_Časový vývoj SP od roku 95 - 2001" xfId="170"/>
    <cellStyle name="normálne_Hárok1" xfId="177"/>
    <cellStyle name="normálne_Mesač.prehľad P aV apríl 2006" xfId="38"/>
    <cellStyle name="normálne_nový výkaz upravený " xfId="39"/>
    <cellStyle name="normálne_plnenie investície 2006" xfId="171"/>
    <cellStyle name="normálne_pomocný do textu júl 2010" xfId="166"/>
    <cellStyle name="normálne_Prílohy č. 1a ... (tvorba fondov 2007)" xfId="169"/>
    <cellStyle name="normálne_Prílohy k správe k 30.11.2010 - ústredie" xfId="168"/>
    <cellStyle name="normálne_Prílohy.správa o hosp.k 31.12.2006" xfId="175"/>
    <cellStyle name="normálne_Skutočnosť k 31.8.2010 - vzorce" xfId="40"/>
    <cellStyle name="normálne_Skutočnosť k 31.8.2010 - vzorce 2" xfId="75"/>
    <cellStyle name="normálne_VS. 2011.Prílohy_pohľadávky" xfId="176"/>
    <cellStyle name="normálne_Výdavky ZFNP 2007 - do správy" xfId="41"/>
    <cellStyle name="normálne_Zdravotnícke zariadenia ku dňu 31.12.2005" xfId="178"/>
    <cellStyle name="normálne_Zošit2" xfId="42"/>
    <cellStyle name="normální 2" xfId="43"/>
    <cellStyle name="normální_15.6.07 východ.+rozpočet 08-10" xfId="44"/>
    <cellStyle name="Percentá 2" xfId="80"/>
    <cellStyle name="Percentá 3" xfId="131"/>
    <cellStyle name="Percentá 4" xfId="137"/>
    <cellStyle name="Percentá 5" xfId="140"/>
    <cellStyle name="Popis" xfId="45"/>
    <cellStyle name="Poznámka" xfId="46" builtinId="10" customBuiltin="1"/>
    <cellStyle name="Poznámka 2" xfId="116"/>
    <cellStyle name="Poznámka 3" xfId="153"/>
    <cellStyle name="Prepojená bunka" xfId="47" builtinId="24" customBuiltin="1"/>
    <cellStyle name="Prepojená bunka 2" xfId="117"/>
    <cellStyle name="ProductNo." xfId="48"/>
    <cellStyle name="Spolu" xfId="49" builtinId="25" customBuiltin="1"/>
    <cellStyle name="Spolu 2" xfId="118"/>
    <cellStyle name="Text upozornenia" xfId="50" builtinId="11" customBuiltin="1"/>
    <cellStyle name="Text upozornenia 2" xfId="119"/>
    <cellStyle name="Titul" xfId="51" builtinId="15" customBuiltin="1"/>
    <cellStyle name="Total" xfId="52"/>
    <cellStyle name="Upozornenie" xfId="53"/>
    <cellStyle name="Vstup" xfId="54" builtinId="20" customBuiltin="1"/>
    <cellStyle name="Vstup 2" xfId="120"/>
    <cellStyle name="Výpočet" xfId="55" builtinId="22" customBuiltin="1"/>
    <cellStyle name="Výpočet 2" xfId="121"/>
    <cellStyle name="Výstup" xfId="56" builtinId="21" customBuiltin="1"/>
    <cellStyle name="Výstup 2" xfId="122"/>
    <cellStyle name="Vysvetľujúci text" xfId="57" builtinId="53" customBuiltin="1"/>
    <cellStyle name="Vysvetľujúci text 2" xfId="123"/>
    <cellStyle name="Zlá" xfId="58" builtinId="27" customBuiltin="1"/>
    <cellStyle name="Zlá 2" xfId="124"/>
    <cellStyle name="Zvýraznenie1" xfId="59" builtinId="29" customBuiltin="1"/>
    <cellStyle name="Zvýraznenie1 2" xfId="125"/>
    <cellStyle name="Zvýraznenie2" xfId="60" builtinId="33" customBuiltin="1"/>
    <cellStyle name="Zvýraznenie2 2" xfId="126"/>
    <cellStyle name="Zvýraznenie3" xfId="61" builtinId="37" customBuiltin="1"/>
    <cellStyle name="Zvýraznenie3 2" xfId="127"/>
    <cellStyle name="Zvýraznenie4" xfId="62" builtinId="41" customBuiltin="1"/>
    <cellStyle name="Zvýraznenie4 2" xfId="128"/>
    <cellStyle name="Zvýraznenie5" xfId="63" builtinId="45" customBuiltin="1"/>
    <cellStyle name="Zvýraznenie5 2" xfId="129"/>
    <cellStyle name="Zvýraznenie6" xfId="64" builtinId="49" customBuiltin="1"/>
    <cellStyle name="Zvýraznenie6 2" xfId="130"/>
  </cellStyles>
  <dxfs count="5">
    <dxf>
      <font>
        <condense val="0"/>
        <extend val="0"/>
        <color indexed="50"/>
      </font>
    </dxf>
    <dxf>
      <font>
        <condense val="0"/>
        <extend val="0"/>
        <color indexed="5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5.xml"/><Relationship Id="rId39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34" Type="http://schemas.openxmlformats.org/officeDocument/2006/relationships/externalLink" Target="externalLinks/externalLink8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4.xml"/><Relationship Id="rId33" Type="http://schemas.openxmlformats.org/officeDocument/2006/relationships/externalLink" Target="externalLinks/externalLink7.xml"/><Relationship Id="rId38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externalLink" Target="externalLinks/externalLink3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3.xml"/><Relationship Id="rId32" Type="http://schemas.openxmlformats.org/officeDocument/2006/relationships/externalLink" Target="externalLinks/externalLink6.xml"/><Relationship Id="rId37" Type="http://schemas.openxmlformats.org/officeDocument/2006/relationships/externalLink" Target="externalLinks/externalLink11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externalLink" Target="externalLinks/externalLink2.xml"/><Relationship Id="rId36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chartsheet" Target="chartsheets/sheet1.xml"/><Relationship Id="rId31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externalLink" Target="externalLinks/externalLink9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6183431952662722E-2"/>
          <c:y val="9.0720112286725427E-2"/>
          <c:w val="0.8759854579684232"/>
          <c:h val="0.71156400629686178"/>
        </c:manualLayout>
      </c:layout>
      <c:lineChart>
        <c:grouping val="standard"/>
        <c:varyColors val="0"/>
        <c:ser>
          <c:idx val="0"/>
          <c:order val="0"/>
          <c:tx>
            <c:strRef>
              <c:f>[7]graf!$B$8</c:f>
              <c:strCache>
                <c:ptCount val="1"/>
                <c:pt idx="0">
                  <c:v>rozpis rozpočtu príjmov na rok 2014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lgDash"/>
            </a:ln>
          </c:spPr>
          <c:marker>
            <c:symbol val="diamond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</c:marker>
          <c:dPt>
            <c:idx val="1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chemeClr val="accent3">
                      <a:lumMod val="75000"/>
                    </a:schemeClr>
                  </a:solidFill>
                  <a:prstDash val="solid"/>
                </a:ln>
              </c:spPr>
            </c:marker>
            <c:bubble3D val="0"/>
          </c:dPt>
          <c:dLbls>
            <c:dLbl>
              <c:idx val="0"/>
              <c:layout>
                <c:manualLayout>
                  <c:x val="-4.6221965231422801E-2"/>
                  <c:y val="2.9470368952286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1971084411167867E-2"/>
                  <c:y val="-2.1697221178173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712048289657825E-2"/>
                  <c:y val="-3.5215742794735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1265965595386434E-2"/>
                  <c:y val="-1.5140740012183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2406764050471072E-2"/>
                  <c:y val="1.73035964260444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416867682107617E-2"/>
                  <c:y val="-2.7104631210535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3.1576911366068727E-3"/>
                  <c:y val="-2.7037035736042318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[7]graf!$C$8:$N$8</c:f>
              <c:numCache>
                <c:formatCode>General</c:formatCode>
                <c:ptCount val="12"/>
                <c:pt idx="0">
                  <c:v>496445.4384625057</c:v>
                </c:pt>
                <c:pt idx="1">
                  <c:v>466970.65569398884</c:v>
                </c:pt>
                <c:pt idx="2">
                  <c:v>455065.22625658265</c:v>
                </c:pt>
                <c:pt idx="3">
                  <c:v>484292.89542074094</c:v>
                </c:pt>
                <c:pt idx="4">
                  <c:v>487018.39817285538</c:v>
                </c:pt>
                <c:pt idx="5">
                  <c:v>490600.27486908808</c:v>
                </c:pt>
                <c:pt idx="6">
                  <c:v>517613.58446815022</c:v>
                </c:pt>
                <c:pt idx="7">
                  <c:v>497637.5342172138</c:v>
                </c:pt>
                <c:pt idx="8">
                  <c:v>489084.14183653024</c:v>
                </c:pt>
                <c:pt idx="9">
                  <c:v>504642.73745957931</c:v>
                </c:pt>
                <c:pt idx="10">
                  <c:v>496064.53503700939</c:v>
                </c:pt>
                <c:pt idx="11">
                  <c:v>612569.66560575517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[7]graf!$B$9</c:f>
              <c:strCache>
                <c:ptCount val="1"/>
                <c:pt idx="0">
                  <c:v>príjmy od EAO spolu rok 2014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063832626330434E-2"/>
                  <c:y val="-3.5418516814215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229495173125622E-2"/>
                  <c:y val="-2.8659257880204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999073595952924E-2"/>
                  <c:y val="-1.6492593554540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7143439756619951E-2"/>
                  <c:y val="-4.48814793218302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999052359056045E-2"/>
                  <c:y val="-1.9196401817612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9074360172086313E-2"/>
                  <c:y val="-3.1362961453809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2.6247603879274366E-3"/>
                  <c:y val="-2.97407393096465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[7]graf!$C$9:$N$9</c:f>
              <c:numCache>
                <c:formatCode>General</c:formatCode>
                <c:ptCount val="12"/>
                <c:pt idx="0">
                  <c:v>503984</c:v>
                </c:pt>
                <c:pt idx="1">
                  <c:v>481528</c:v>
                </c:pt>
                <c:pt idx="2">
                  <c:v>475858</c:v>
                </c:pt>
                <c:pt idx="3">
                  <c:v>496840</c:v>
                </c:pt>
                <c:pt idx="4">
                  <c:v>503765</c:v>
                </c:pt>
                <c:pt idx="5">
                  <c:v>507774</c:v>
                </c:pt>
                <c:pt idx="6">
                  <c:v>535491</c:v>
                </c:pt>
                <c:pt idx="7">
                  <c:v>500166</c:v>
                </c:pt>
                <c:pt idx="8">
                  <c:v>506783</c:v>
                </c:pt>
                <c:pt idx="9">
                  <c:v>523153</c:v>
                </c:pt>
                <c:pt idx="10">
                  <c:v>505122</c:v>
                </c:pt>
                <c:pt idx="11">
                  <c:v>634410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[7]graf!$B$10</c:f>
              <c:strCache>
                <c:ptCount val="1"/>
                <c:pt idx="0">
                  <c:v>príjmy od EAO spolu rok 2012 bez oddlženia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4"/>
              <c:layout>
                <c:manualLayout>
                  <c:x val="-3.6474397815277095E-2"/>
                  <c:y val="-1.7574073228427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8057229088674758E-2"/>
                  <c:y val="-2.0277776802031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1"/>
              <c:layout>
                <c:manualLayout>
                  <c:x val="2.6479735947687161E-3"/>
                  <c:y val="1.4870369654823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[7]graf!$C$10:$N$10</c:f>
              <c:numCache>
                <c:formatCode>General</c:formatCode>
                <c:ptCount val="12"/>
                <c:pt idx="0">
                  <c:v>445863</c:v>
                </c:pt>
                <c:pt idx="1">
                  <c:v>436816</c:v>
                </c:pt>
                <c:pt idx="2">
                  <c:v>427059.55717000004</c:v>
                </c:pt>
                <c:pt idx="3">
                  <c:v>438139.44282999996</c:v>
                </c:pt>
                <c:pt idx="4">
                  <c:v>448976</c:v>
                </c:pt>
                <c:pt idx="5">
                  <c:v>451458</c:v>
                </c:pt>
                <c:pt idx="6">
                  <c:v>467118.80834000005</c:v>
                </c:pt>
                <c:pt idx="7">
                  <c:v>459276</c:v>
                </c:pt>
                <c:pt idx="8">
                  <c:v>443517</c:v>
                </c:pt>
                <c:pt idx="9">
                  <c:v>457603</c:v>
                </c:pt>
                <c:pt idx="10">
                  <c:v>453280</c:v>
                </c:pt>
                <c:pt idx="11">
                  <c:v>541304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[7]graf!$B$11</c:f>
              <c:strCache>
                <c:ptCount val="1"/>
                <c:pt idx="0">
                  <c:v>príjmy od EAO spolu rok 2012 vrátane oddlženia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star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-3.0675903803617659E-2"/>
                  <c:y val="2.4400924751778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9"/>
              <c:layout>
                <c:manualLayout>
                  <c:x val="-3.5352108651730108E-2"/>
                  <c:y val="-1.8858334433265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elete val="1"/>
            </c:dLbl>
            <c:dLbl>
              <c:idx val="11"/>
              <c:layout>
                <c:manualLayout>
                  <c:x val="1.1599653358712546E-3"/>
                  <c:y val="-2.63611098426412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[7]graf!$C$11:$N$11</c:f>
              <c:numCache>
                <c:formatCode>General</c:formatCode>
                <c:ptCount val="12"/>
                <c:pt idx="0">
                  <c:v>445863</c:v>
                </c:pt>
                <c:pt idx="1">
                  <c:v>436816</c:v>
                </c:pt>
                <c:pt idx="2">
                  <c:v>427059.55717000004</c:v>
                </c:pt>
                <c:pt idx="3">
                  <c:v>438139.44282999996</c:v>
                </c:pt>
                <c:pt idx="4">
                  <c:v>448976</c:v>
                </c:pt>
                <c:pt idx="5">
                  <c:v>451458</c:v>
                </c:pt>
                <c:pt idx="6">
                  <c:v>467118.80834000005</c:v>
                </c:pt>
                <c:pt idx="7">
                  <c:v>459276</c:v>
                </c:pt>
                <c:pt idx="8">
                  <c:v>443517</c:v>
                </c:pt>
                <c:pt idx="9">
                  <c:v>457603</c:v>
                </c:pt>
                <c:pt idx="10">
                  <c:v>453280</c:v>
                </c:pt>
                <c:pt idx="11">
                  <c:v>551704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[7]graf!$B$12</c:f>
              <c:strCache>
                <c:ptCount val="1"/>
                <c:pt idx="0">
                  <c:v>príjmy od EAO spolu rok 2013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</c:spPr>
          </c:marker>
          <c:dLbls>
            <c:dLbl>
              <c:idx val="2"/>
              <c:layout>
                <c:manualLayout>
                  <c:x val="-3.4999073595952924E-2"/>
                  <c:y val="2.4062964366460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553290325013174E-2"/>
                  <c:y val="2.135925823147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840940990860561E-2"/>
                  <c:y val="2.4062961805077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3458061585690804E-3"/>
                  <c:y val="2.43333321624380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999073595952924E-2"/>
                  <c:y val="4.4340738607109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5934314565575415E-2"/>
                  <c:y val="2.9470368952286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6581904869350519E-2"/>
                  <c:y val="2.2711110018275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517145838973009E-2"/>
                  <c:y val="3.7581479673098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6221965231422801E-2"/>
                  <c:y val="2.4062961805077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7421025230045313E-3"/>
                  <c:y val="1.7303702871067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808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[7]graf!$C$12:$N$12</c:f>
              <c:numCache>
                <c:formatCode>General</c:formatCode>
                <c:ptCount val="12"/>
                <c:pt idx="0">
                  <c:v>451707</c:v>
                </c:pt>
                <c:pt idx="1">
                  <c:v>453534</c:v>
                </c:pt>
                <c:pt idx="2">
                  <c:v>443416</c:v>
                </c:pt>
                <c:pt idx="3">
                  <c:v>477329</c:v>
                </c:pt>
                <c:pt idx="4">
                  <c:v>480751</c:v>
                </c:pt>
                <c:pt idx="5">
                  <c:v>482171</c:v>
                </c:pt>
                <c:pt idx="6">
                  <c:v>509858</c:v>
                </c:pt>
                <c:pt idx="7">
                  <c:v>489040</c:v>
                </c:pt>
                <c:pt idx="8">
                  <c:v>481644</c:v>
                </c:pt>
                <c:pt idx="9">
                  <c:v>497426</c:v>
                </c:pt>
                <c:pt idx="10">
                  <c:v>486306</c:v>
                </c:pt>
                <c:pt idx="11">
                  <c:v>599870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17600"/>
        <c:axId val="142648064"/>
      </c:lineChart>
      <c:catAx>
        <c:axId val="14261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426480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42648064"/>
        <c:scaling>
          <c:orientation val="minMax"/>
          <c:max val="645000"/>
          <c:min val="38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príjmy od EAO spolu v tis. Eur</a:t>
                </a:r>
              </a:p>
            </c:rich>
          </c:tx>
          <c:layout>
            <c:manualLayout>
              <c:xMode val="edge"/>
              <c:yMode val="edge"/>
              <c:x val="3.6982141938140083E-3"/>
              <c:y val="0.363725798981009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42617600"/>
        <c:crosses val="autoZero"/>
        <c:crossBetween val="between"/>
        <c:majorUnit val="20000"/>
        <c:minorUnit val="20000"/>
      </c:valAx>
      <c:spPr>
        <a:noFill/>
        <a:ln w="3175">
          <a:solidFill>
            <a:srgbClr val="FFFFFF"/>
          </a:solidFill>
          <a:prstDash val="solid"/>
        </a:ln>
      </c:spPr>
    </c:plotArea>
    <c:legend>
      <c:legendPos val="r"/>
      <c:legendEntry>
        <c:idx val="4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layout>
        <c:manualLayout>
          <c:xMode val="edge"/>
          <c:yMode val="edge"/>
          <c:x val="5.8463133284809989E-2"/>
          <c:y val="0.90078626936338846"/>
          <c:w val="0.92142335149282806"/>
          <c:h val="9.921373063661154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4921259845" footer="0.4921259845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Pohľadávky na poistnom a príspevkoch na SDS celkom (účet 316) v tis. Eur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727042192766597"/>
          <c:y val="0.24056102678049082"/>
          <c:w val="0.84000973866086415"/>
          <c:h val="0.641547816678116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-7.3563229043457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'[9]Vývoj pohľadávok graf 2014'!$B$37:$B$52</c:f>
              <c:strCache>
                <c:ptCount val="16"/>
                <c:pt idx="0">
                  <c:v>k 31.12.2010</c:v>
                </c:pt>
                <c:pt idx="1">
                  <c:v> k 31.12.2011</c:v>
                </c:pt>
                <c:pt idx="2">
                  <c:v>k 31.12.2012</c:v>
                </c:pt>
                <c:pt idx="3">
                  <c:v>k 31.12.2013</c:v>
                </c:pt>
                <c:pt idx="4">
                  <c:v>k 31.1.2014</c:v>
                </c:pt>
                <c:pt idx="5">
                  <c:v>k 28.2.2014</c:v>
                </c:pt>
                <c:pt idx="6">
                  <c:v>k 31.3.2014</c:v>
                </c:pt>
                <c:pt idx="7">
                  <c:v>k 30.4.2014</c:v>
                </c:pt>
                <c:pt idx="8">
                  <c:v>k 31.5.2014</c:v>
                </c:pt>
                <c:pt idx="9">
                  <c:v>k 30.6.2014</c:v>
                </c:pt>
                <c:pt idx="10">
                  <c:v>k 31.7.2014</c:v>
                </c:pt>
                <c:pt idx="11">
                  <c:v>k 31.8.2014</c:v>
                </c:pt>
                <c:pt idx="12">
                  <c:v>k 30.9.2014</c:v>
                </c:pt>
                <c:pt idx="13">
                  <c:v>k 31.10.2014</c:v>
                </c:pt>
                <c:pt idx="14">
                  <c:v>k 30. 11 2014</c:v>
                </c:pt>
                <c:pt idx="15">
                  <c:v>k 31.12.2014</c:v>
                </c:pt>
              </c:strCache>
            </c:strRef>
          </c:cat>
          <c:val>
            <c:numRef>
              <c:f>'[9]Vývoj pohľadávok graf 2014'!$C$37:$C$52</c:f>
              <c:numCache>
                <c:formatCode>General</c:formatCode>
                <c:ptCount val="16"/>
                <c:pt idx="0">
                  <c:v>823205</c:v>
                </c:pt>
                <c:pt idx="1">
                  <c:v>563760.21516999998</c:v>
                </c:pt>
                <c:pt idx="2">
                  <c:v>595319.51966000011</c:v>
                </c:pt>
                <c:pt idx="3">
                  <c:v>667147.8540899998</c:v>
                </c:pt>
                <c:pt idx="4">
                  <c:v>724836.54575999989</c:v>
                </c:pt>
                <c:pt idx="5">
                  <c:v>719042.38025000016</c:v>
                </c:pt>
                <c:pt idx="6">
                  <c:v>718464.0144799999</c:v>
                </c:pt>
                <c:pt idx="7">
                  <c:v>707663.93565000035</c:v>
                </c:pt>
                <c:pt idx="8">
                  <c:v>724606.91304999997</c:v>
                </c:pt>
                <c:pt idx="9">
                  <c:v>741615.38801999995</c:v>
                </c:pt>
                <c:pt idx="10">
                  <c:v>768461.07744999998</c:v>
                </c:pt>
                <c:pt idx="11">
                  <c:v>759678.98880000005</c:v>
                </c:pt>
                <c:pt idx="12">
                  <c:v>740864.10253999999</c:v>
                </c:pt>
                <c:pt idx="13">
                  <c:v>735572.8469</c:v>
                </c:pt>
                <c:pt idx="14">
                  <c:v>734733.95982000011</c:v>
                </c:pt>
                <c:pt idx="15">
                  <c:v>725513.39975999994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108416"/>
        <c:axId val="64109952"/>
      </c:barChart>
      <c:catAx>
        <c:axId val="6410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26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64109952"/>
        <c:crosses val="autoZero"/>
        <c:auto val="1"/>
        <c:lblAlgn val="ctr"/>
        <c:lblOffset val="100"/>
        <c:noMultiLvlLbl val="0"/>
      </c:catAx>
      <c:valAx>
        <c:axId val="6410995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64108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Časový vývoj použitia správneho fondu v jednotlivých mesiacoch v roku 2013 a 2014</a:t>
            </a:r>
          </a:p>
        </c:rich>
      </c:tx>
      <c:layout>
        <c:manualLayout>
          <c:xMode val="edge"/>
          <c:yMode val="edge"/>
          <c:x val="0.16339193381592554"/>
          <c:y val="1.864406779661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6577042399173"/>
          <c:y val="0.1271186440677966"/>
          <c:w val="0.86039296794208897"/>
          <c:h val="0.59491525423728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[8]zdroj!$A$13</c:f>
              <c:strCache>
                <c:ptCount val="1"/>
                <c:pt idx="0">
                  <c:v>Správny fond v roku 2013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[8]zdroj!$B$12:$M$12</c:f>
              <c:strCache>
                <c:ptCount val="12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[8]zdroj!$B$13:$M$13</c:f>
              <c:numCache>
                <c:formatCode>General</c:formatCode>
                <c:ptCount val="12"/>
                <c:pt idx="0">
                  <c:v>11572878</c:v>
                </c:pt>
                <c:pt idx="1">
                  <c:v>5229443</c:v>
                </c:pt>
                <c:pt idx="2">
                  <c:v>7700431</c:v>
                </c:pt>
                <c:pt idx="3">
                  <c:v>8639271</c:v>
                </c:pt>
                <c:pt idx="4">
                  <c:v>8655832</c:v>
                </c:pt>
                <c:pt idx="5">
                  <c:v>7927273</c:v>
                </c:pt>
                <c:pt idx="6">
                  <c:v>12487771</c:v>
                </c:pt>
                <c:pt idx="7">
                  <c:v>8706648</c:v>
                </c:pt>
                <c:pt idx="8">
                  <c:v>8383059</c:v>
                </c:pt>
                <c:pt idx="9">
                  <c:v>9140804</c:v>
                </c:pt>
                <c:pt idx="10">
                  <c:v>12852995</c:v>
                </c:pt>
                <c:pt idx="11">
                  <c:v>23455878</c:v>
                </c:pt>
              </c:numCache>
            </c:numRef>
          </c:val>
        </c:ser>
        <c:ser>
          <c:idx val="2"/>
          <c:order val="1"/>
          <c:tx>
            <c:strRef>
              <c:f>[8]zdroj!$A$14</c:f>
              <c:strCache>
                <c:ptCount val="1"/>
                <c:pt idx="0">
                  <c:v>Správny fond v roku 2014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[8]zdroj!$B$12:$M$12</c:f>
              <c:strCache>
                <c:ptCount val="12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[8]zdroj!$B$14:$M$14</c:f>
              <c:numCache>
                <c:formatCode>General</c:formatCode>
                <c:ptCount val="12"/>
                <c:pt idx="0">
                  <c:v>7217526</c:v>
                </c:pt>
                <c:pt idx="1">
                  <c:v>8070064</c:v>
                </c:pt>
                <c:pt idx="2">
                  <c:v>8099770</c:v>
                </c:pt>
                <c:pt idx="3">
                  <c:v>10001154</c:v>
                </c:pt>
                <c:pt idx="4">
                  <c:v>7927487</c:v>
                </c:pt>
                <c:pt idx="5">
                  <c:v>10891179</c:v>
                </c:pt>
                <c:pt idx="6">
                  <c:v>9952189</c:v>
                </c:pt>
                <c:pt idx="7">
                  <c:v>8771441</c:v>
                </c:pt>
                <c:pt idx="8">
                  <c:v>9764163</c:v>
                </c:pt>
                <c:pt idx="9">
                  <c:v>9354820</c:v>
                </c:pt>
                <c:pt idx="10">
                  <c:v>10307430</c:v>
                </c:pt>
                <c:pt idx="11">
                  <c:v>23199387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867072"/>
        <c:axId val="142934784"/>
      </c:barChart>
      <c:catAx>
        <c:axId val="142867072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Euro</a:t>
                </a:r>
              </a:p>
            </c:rich>
          </c:tx>
          <c:layout>
            <c:manualLayout>
              <c:xMode val="edge"/>
              <c:yMode val="edge"/>
              <c:x val="0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4293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93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428670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884177869700101"/>
          <c:y val="0.85932203389830508"/>
          <c:w val="0.43019648397104443"/>
          <c:h val="8.1355932203389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4921259845" footer="0.4921259845"/>
  <pageSetup paperSize="9" orientation="landscape" horizontalDpi="429496729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25</xdr:col>
      <xdr:colOff>367561</xdr:colOff>
      <xdr:row>53</xdr:row>
      <xdr:rowOff>60021</xdr:rowOff>
    </xdr:to>
    <xdr:graphicFrame macro="">
      <xdr:nvGraphicFramePr>
        <xdr:cNvPr id="2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0.30849</cdr:x>
      <cdr:y>0.0071</cdr:y>
    </cdr:from>
    <cdr:to>
      <cdr:x>0.6839</cdr:x>
      <cdr:y>0.05901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438608" y="66701"/>
          <a:ext cx="5401535" cy="487670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28</xdr:row>
      <xdr:rowOff>142875</xdr:rowOff>
    </xdr:from>
    <xdr:to>
      <xdr:col>14</xdr:col>
      <xdr:colOff>190500</xdr:colOff>
      <xdr:row>58</xdr:row>
      <xdr:rowOff>47625</xdr:rowOff>
    </xdr:to>
    <xdr:graphicFrame macro="">
      <xdr:nvGraphicFramePr>
        <xdr:cNvPr id="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59117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pas/priklady%20-%20Excel%20II/cvicne%20soubory/citlivostni%20analyz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KORSEPOVA_M\AppData\Local\Microsoft\Windows\Temporary%20Internet%20Files\Content.Outlook\OQBD1BHD\Pr&#237;lohy%20k%20spr&#225;ve%20k%2031%2012%202014%20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-dejczoova_e/AppData/Local/Microsoft/Windows/Temporary%20Internet%20Files/Content.Outlook/PUCJRSDW/rozdelenie%20zam.%20pobo&#269;iek/Gopas/priklady%20-%20Excel%20II/cvicne%20soubory/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bert%20Pecha&#269;/Dokumenty/Excel%20III/moje/pokro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excel/cvic/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-FARKASOVA_K/AppData/Local/Microsoft/Windows/Temporary%20Internet%20Files/Content.Outlook/AFICXF30/graf%20%20skuto&#269;nos&#357;%202014%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A-BRUCKNEROVA_J/My%20Documents/Jarmila_pracovn&#233;%20s&#250;bory/Rozbory/rok%202014/plnenie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KORSEPOVA_M\AppData\Local\Microsoft\Windows\Temporary%20Internet%20Files\Content.Outlook\OQBD1BHD\Preh&#318;ady%20k%20..12_2014.len%20r.14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"/>
      <sheetName val="graf pohľadávky"/>
      <sheetName val="stav pohľ.podľa pob.12_14.1"/>
      <sheetName val="spôsoby vymáhania"/>
      <sheetName val="Opravné položky"/>
      <sheetName val="Exekučné návrhy"/>
      <sheetName val="Mandátna správa"/>
      <sheetName val="Vydané rozhodnutia SK "/>
      <sheetName val="Pohľadávky voči  ZZ"/>
      <sheetName val="Pohľadávky podľa pobočiek Z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Hárok1"/>
    </sheetNames>
    <sheetDataSet>
      <sheetData sheetId="0">
        <row r="4">
          <cell r="C4" t="str">
            <v xml:space="preserve">január </v>
          </cell>
          <cell r="D4" t="str">
            <v>február</v>
          </cell>
          <cell r="E4" t="str">
            <v>marec</v>
          </cell>
          <cell r="F4" t="str">
            <v>apríl</v>
          </cell>
          <cell r="G4" t="str">
            <v>máj</v>
          </cell>
          <cell r="H4" t="str">
            <v>jún</v>
          </cell>
          <cell r="I4" t="str">
            <v>júl</v>
          </cell>
          <cell r="J4" t="str">
            <v>august</v>
          </cell>
          <cell r="K4" t="str">
            <v>september</v>
          </cell>
          <cell r="L4" t="str">
            <v>október</v>
          </cell>
          <cell r="M4" t="str">
            <v>november</v>
          </cell>
          <cell r="N4" t="str">
            <v>december</v>
          </cell>
        </row>
        <row r="8">
          <cell r="B8" t="str">
            <v>rozpis rozpočtu príjmov na rok 2014</v>
          </cell>
          <cell r="C8">
            <v>496445.4384625057</v>
          </cell>
          <cell r="D8">
            <v>466970.65569398884</v>
          </cell>
          <cell r="E8">
            <v>455065.22625658265</v>
          </cell>
          <cell r="F8">
            <v>484292.89542074094</v>
          </cell>
          <cell r="G8">
            <v>487018.39817285538</v>
          </cell>
          <cell r="H8">
            <v>490600.27486908808</v>
          </cell>
          <cell r="I8">
            <v>517613.58446815022</v>
          </cell>
          <cell r="J8">
            <v>497637.5342172138</v>
          </cell>
          <cell r="K8">
            <v>489084.14183653024</v>
          </cell>
          <cell r="L8">
            <v>504642.73745957931</v>
          </cell>
          <cell r="M8">
            <v>496064.53503700939</v>
          </cell>
          <cell r="N8">
            <v>612569.66560575517</v>
          </cell>
        </row>
        <row r="9">
          <cell r="B9" t="str">
            <v>príjmy od EAO spolu rok 2014</v>
          </cell>
          <cell r="C9">
            <v>503984</v>
          </cell>
          <cell r="D9">
            <v>481528</v>
          </cell>
          <cell r="E9">
            <v>475858</v>
          </cell>
          <cell r="F9">
            <v>496840</v>
          </cell>
          <cell r="G9">
            <v>503765</v>
          </cell>
          <cell r="H9">
            <v>507774</v>
          </cell>
          <cell r="I9">
            <v>535491</v>
          </cell>
          <cell r="J9">
            <v>500166</v>
          </cell>
          <cell r="K9">
            <v>506783</v>
          </cell>
          <cell r="L9">
            <v>523153</v>
          </cell>
          <cell r="M9">
            <v>505122</v>
          </cell>
          <cell r="N9">
            <v>634410</v>
          </cell>
        </row>
        <row r="10">
          <cell r="B10" t="str">
            <v>príjmy od EAO spolu rok 2012 bez oddlženia</v>
          </cell>
          <cell r="C10">
            <v>445863</v>
          </cell>
          <cell r="D10">
            <v>436816</v>
          </cell>
          <cell r="E10">
            <v>427059.55717000004</v>
          </cell>
          <cell r="F10">
            <v>438139.44282999996</v>
          </cell>
          <cell r="G10">
            <v>448976</v>
          </cell>
          <cell r="H10">
            <v>451458</v>
          </cell>
          <cell r="I10">
            <v>467118.80834000005</v>
          </cell>
          <cell r="J10">
            <v>459276</v>
          </cell>
          <cell r="K10">
            <v>443517</v>
          </cell>
          <cell r="L10">
            <v>457603</v>
          </cell>
          <cell r="M10">
            <v>453280</v>
          </cell>
          <cell r="N10">
            <v>541304</v>
          </cell>
        </row>
        <row r="11">
          <cell r="B11" t="str">
            <v>príjmy od EAO spolu rok 2012 vrátane oddlženia</v>
          </cell>
          <cell r="C11">
            <v>445863</v>
          </cell>
          <cell r="D11">
            <v>436816</v>
          </cell>
          <cell r="E11">
            <v>427059.55717000004</v>
          </cell>
          <cell r="F11">
            <v>438139.44282999996</v>
          </cell>
          <cell r="G11">
            <v>448976</v>
          </cell>
          <cell r="H11">
            <v>451458</v>
          </cell>
          <cell r="I11">
            <v>467118.80834000005</v>
          </cell>
          <cell r="J11">
            <v>459276</v>
          </cell>
          <cell r="K11">
            <v>443517</v>
          </cell>
          <cell r="L11">
            <v>457603</v>
          </cell>
          <cell r="M11">
            <v>453280</v>
          </cell>
          <cell r="N11">
            <v>551704</v>
          </cell>
        </row>
        <row r="12">
          <cell r="B12" t="str">
            <v>príjmy od EAO spolu rok 2013</v>
          </cell>
          <cell r="C12">
            <v>451707</v>
          </cell>
          <cell r="D12">
            <v>453534</v>
          </cell>
          <cell r="E12">
            <v>443416</v>
          </cell>
          <cell r="F12">
            <v>477329</v>
          </cell>
          <cell r="G12">
            <v>480751</v>
          </cell>
          <cell r="H12">
            <v>482171</v>
          </cell>
          <cell r="I12">
            <v>509858</v>
          </cell>
          <cell r="J12">
            <v>489040</v>
          </cell>
          <cell r="K12">
            <v>481644</v>
          </cell>
          <cell r="L12">
            <v>497426</v>
          </cell>
          <cell r="M12">
            <v>486306</v>
          </cell>
          <cell r="N12">
            <v>599870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emky 711001"/>
      <sheetName val="budovy 712"/>
      <sheetName val="dopravné 714"/>
      <sheetName val="SW 711003"/>
      <sheetName val="stroje 713"/>
      <sheetName val="projektová 716"/>
      <sheetName val="stavby 717"/>
      <sheetName val="2011,2012 a 2013"/>
      <sheetName val="2013 a 2014"/>
      <sheetName val="Graf"/>
      <sheetName val="spolu 600+700 rok 2014"/>
      <sheetName val="spolu 600 rok 2014"/>
      <sheetName val="spolu 700 rok 2014"/>
      <sheetName val="ústredie 600 rok 2014"/>
      <sheetName val="pobočky 600 rok 2014"/>
      <sheetName val="spolu 600+700 november 2014"/>
      <sheetName val="spolu 600 november 2014"/>
      <sheetName val="spolu 700 november 2014"/>
      <sheetName val="ústredie 600 november 2014"/>
      <sheetName val="pobočky 600 november 2014"/>
      <sheetName val="objed.a faktúry november 2014"/>
      <sheetName val="spolu 600+700 október 2014"/>
      <sheetName val="spolu 600 október 2014"/>
      <sheetName val="spolu 700 október 2014"/>
      <sheetName val="ústredie 600 október 2014"/>
      <sheetName val="pobočky 600 október 2014"/>
      <sheetName val="objed.a faktúry október 2014"/>
      <sheetName val="spolu 600+700 september 2014"/>
      <sheetName val="spolu 600 september 2014"/>
      <sheetName val="spolu 700 september 2014"/>
      <sheetName val="ústredie 600 september 2014"/>
      <sheetName val="pobočky 600 september 2014"/>
      <sheetName val="objed.a faktúry september 2014"/>
      <sheetName val="spolu 600+700 august 2014"/>
      <sheetName val="spolu 600 august 2014"/>
      <sheetName val="spolu 700 august 2014"/>
      <sheetName val="ústredie 600 august 2014"/>
      <sheetName val="pobočky 600 august 2014"/>
      <sheetName val="objed.a faktúry august 2014"/>
      <sheetName val="spolu 600+700 júl 2014"/>
      <sheetName val="spolu 600 júl 2014"/>
      <sheetName val="spolu 700 júl 2014"/>
      <sheetName val="ústredie 600 júl 2014"/>
      <sheetName val="pobočky 600 júl 2014"/>
      <sheetName val="objed.a faktúry júl 2014"/>
      <sheetName val="spolu 600+700 jún 2014"/>
      <sheetName val="spolu 600 jún 2014"/>
      <sheetName val="spolu 700 jún 2014"/>
      <sheetName val="ústredie 600 jún 2014"/>
      <sheetName val="pobočky 600 jún 2014"/>
      <sheetName val="objed.a faktúry jún 2014"/>
      <sheetName val="spolu 600+700 máj 2014"/>
      <sheetName val="spolu 600 máj 2014"/>
      <sheetName val="spolu 700 máj 2014"/>
      <sheetName val="ústredie 600 máj 2014"/>
      <sheetName val="pobočky 600 máj 2014"/>
      <sheetName val="objed.a faktúry máj 2014"/>
      <sheetName val="spolu 600+700 apríl 2014"/>
      <sheetName val="spolu 600 apríl 2014"/>
      <sheetName val="spolu 700 apríl 2014"/>
      <sheetName val="ústredie 600 apríl 2014"/>
      <sheetName val="pobočky 600 apríl 2014"/>
      <sheetName val="objed.a faktúry apríl 2014"/>
      <sheetName val="spolu 600+700 marec 2014"/>
      <sheetName val="spolu 600 marec 2014"/>
      <sheetName val="spolu 700 marec 2014"/>
      <sheetName val="ústredie 600 marec 2014"/>
      <sheetName val="pobočky 600 marec 2014"/>
      <sheetName val="objed.a faktúry marec 2014"/>
      <sheetName val="spolu 600+700 február 2014"/>
      <sheetName val="spolu 600 február 2014"/>
      <sheetName val="spolu 700 február 2014"/>
      <sheetName val="ústredie 600 február 2014"/>
      <sheetName val="pobočky 600 február 2014"/>
      <sheetName val="objed.a faktúry február 2014"/>
      <sheetName val="SF"/>
      <sheetName val="Pobočky SF august 2013"/>
      <sheetName val="príloha č. 11"/>
      <sheetName val="príloha č.3"/>
      <sheetName val="príloha č. 9"/>
      <sheetName val="Hárok2"/>
      <sheetName val="Hárok1"/>
      <sheetName val="Hárok3"/>
      <sheetName val="Hárok5"/>
      <sheetName val="Hárok4"/>
      <sheetName val="zdroj"/>
      <sheetName val="vzor"/>
      <sheetName val="vzor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>
        <row r="12">
          <cell r="B12" t="str">
            <v xml:space="preserve"> Január </v>
          </cell>
          <cell r="C12" t="str">
            <v xml:space="preserve"> Február </v>
          </cell>
          <cell r="D12" t="str">
            <v>Marec</v>
          </cell>
          <cell r="E12" t="str">
            <v>Apríl</v>
          </cell>
          <cell r="F12" t="str">
            <v>Máj</v>
          </cell>
          <cell r="G12" t="str">
            <v>Jún</v>
          </cell>
          <cell r="H12" t="str">
            <v>Júl</v>
          </cell>
          <cell r="I12" t="str">
            <v>August</v>
          </cell>
          <cell r="J12" t="str">
            <v>September</v>
          </cell>
          <cell r="K12" t="str">
            <v>Október</v>
          </cell>
          <cell r="L12" t="str">
            <v>November</v>
          </cell>
          <cell r="M12" t="str">
            <v>December</v>
          </cell>
        </row>
        <row r="13">
          <cell r="A13" t="str">
            <v>Správny fond v roku 2013</v>
          </cell>
          <cell r="B13">
            <v>11572878</v>
          </cell>
          <cell r="C13">
            <v>5229443</v>
          </cell>
          <cell r="D13">
            <v>7700431</v>
          </cell>
          <cell r="E13">
            <v>8639271</v>
          </cell>
          <cell r="F13">
            <v>8655832</v>
          </cell>
          <cell r="G13">
            <v>7927273</v>
          </cell>
          <cell r="H13">
            <v>12487771</v>
          </cell>
          <cell r="I13">
            <v>8706648</v>
          </cell>
          <cell r="J13">
            <v>8383059</v>
          </cell>
          <cell r="K13">
            <v>9140804</v>
          </cell>
          <cell r="L13">
            <v>12852995</v>
          </cell>
          <cell r="M13">
            <v>23455878</v>
          </cell>
        </row>
        <row r="14">
          <cell r="A14" t="str">
            <v>Správny fond v roku 2014</v>
          </cell>
          <cell r="B14">
            <v>7217526</v>
          </cell>
          <cell r="C14">
            <v>8070064</v>
          </cell>
          <cell r="D14">
            <v>8099770</v>
          </cell>
          <cell r="E14">
            <v>10001154</v>
          </cell>
          <cell r="F14">
            <v>7927487</v>
          </cell>
          <cell r="G14">
            <v>10891179</v>
          </cell>
          <cell r="H14">
            <v>9952189</v>
          </cell>
          <cell r="I14">
            <v>8771441</v>
          </cell>
          <cell r="J14">
            <v>9764163</v>
          </cell>
          <cell r="K14">
            <v>9354820</v>
          </cell>
          <cell r="L14">
            <v>10307430</v>
          </cell>
          <cell r="M14">
            <v>23199387</v>
          </cell>
        </row>
      </sheetData>
      <sheetData sheetId="86"/>
      <sheetData sheetId="8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_2013"/>
      <sheetName val="Vývoj pohľadávok graf 2014"/>
      <sheetName val="Vývoj pohľadávok"/>
      <sheetName val="stav pohľ.podľa pob.12_13.0 "/>
      <sheetName val="stav pohľ.podľa pob.12_13"/>
      <sheetName val="stav pohľ.podľa pob.2_14.0"/>
      <sheetName val="stav pohľ.podľa pob.2_14.0 (2)"/>
      <sheetName val="stav pohľ.podľa pob.3_14.0"/>
      <sheetName val="stav pohľ.podľa pob.3_14.0 (2)"/>
      <sheetName val="stav pohľ.podľa pob.4_14.0 "/>
      <sheetName val="stav pohľ.podľa pob.4_14.44"/>
      <sheetName val="stav pohľ.podľa pob.4_14.opr."/>
      <sheetName val="stav pohľ.podľa pob.5_14.0"/>
      <sheetName val="stav pohľ.podľa pob.5_14.1"/>
      <sheetName val="stav pohľ.podľa pob.6_14.0 "/>
      <sheetName val="stav pohľ.podľa pob.6_14.1"/>
      <sheetName val="stav pohľ.podľa pob.7_14.0"/>
      <sheetName val="stav pohľ.podľa pob.7_14.1"/>
      <sheetName val="stav pohľ.podľa pob.8_14.0"/>
      <sheetName val="stav pohľ.podľa pob.8_14.1"/>
      <sheetName val="stav pohľ.podľa pob.9_14.0"/>
      <sheetName val="stav pohľ.podľa pob.9_14.1"/>
      <sheetName val="stav pohľ.podľa pob.10_14.0"/>
      <sheetName val="stav pohľ.podľa pob.10_14.1"/>
      <sheetName val="stav pohľ.podľa pob.11_14.0 "/>
      <sheetName val="stav pohľ.podľa pob.11_14.1"/>
      <sheetName val="stav pohľ.podľa pob.12_14.0 "/>
      <sheetName val="stav pohľ.podľa pob.12_14.1"/>
      <sheetName val="Stav pohľ.podľa poboč(12 12"/>
      <sheetName val="Stav pohľ.podľa poboč(12 12 (2"/>
      <sheetName val="Stav pohľ.podľa poboč(12_12"/>
      <sheetName val="Pohľ.podľa spôsobov vymáhania"/>
      <sheetName val="Mandátna správa 2012"/>
      <sheetName val="Mandátna správa_2013"/>
      <sheetName val="Hárok1"/>
    </sheetNames>
    <sheetDataSet>
      <sheetData sheetId="0"/>
      <sheetData sheetId="1">
        <row r="37">
          <cell r="B37" t="str">
            <v>k 31.12.2010</v>
          </cell>
          <cell r="C37">
            <v>823205</v>
          </cell>
        </row>
        <row r="38">
          <cell r="B38" t="str">
            <v xml:space="preserve"> k 31.12.2011</v>
          </cell>
          <cell r="C38">
            <v>563760.21516999998</v>
          </cell>
        </row>
        <row r="39">
          <cell r="B39" t="str">
            <v>k 31.12.2012</v>
          </cell>
          <cell r="C39">
            <v>595319.51966000011</v>
          </cell>
        </row>
        <row r="40">
          <cell r="B40" t="str">
            <v>k 31.12.2013</v>
          </cell>
          <cell r="C40">
            <v>667147.8540899998</v>
          </cell>
        </row>
        <row r="41">
          <cell r="B41" t="str">
            <v>k 31.1.2014</v>
          </cell>
          <cell r="C41">
            <v>724836.54575999989</v>
          </cell>
        </row>
        <row r="42">
          <cell r="B42" t="str">
            <v>k 28.2.2014</v>
          </cell>
          <cell r="C42">
            <v>719042.38025000016</v>
          </cell>
        </row>
        <row r="43">
          <cell r="B43" t="str">
            <v>k 31.3.2014</v>
          </cell>
          <cell r="C43">
            <v>718464.0144799999</v>
          </cell>
        </row>
        <row r="44">
          <cell r="B44" t="str">
            <v>k 30.4.2014</v>
          </cell>
          <cell r="C44">
            <v>707663.93565000035</v>
          </cell>
        </row>
        <row r="45">
          <cell r="B45" t="str">
            <v>k 31.5.2014</v>
          </cell>
          <cell r="C45">
            <v>724606.91304999997</v>
          </cell>
        </row>
        <row r="46">
          <cell r="B46" t="str">
            <v>k 30.6.2014</v>
          </cell>
          <cell r="C46">
            <v>741615.38801999995</v>
          </cell>
        </row>
        <row r="47">
          <cell r="B47" t="str">
            <v>k 31.7.2014</v>
          </cell>
          <cell r="C47">
            <v>768461.07744999998</v>
          </cell>
        </row>
        <row r="48">
          <cell r="B48" t="str">
            <v>k 31.8.2014</v>
          </cell>
          <cell r="C48">
            <v>759678.98880000005</v>
          </cell>
        </row>
        <row r="49">
          <cell r="B49" t="str">
            <v>k 30.9.2014</v>
          </cell>
          <cell r="C49">
            <v>740864.10253999999</v>
          </cell>
        </row>
        <row r="50">
          <cell r="B50" t="str">
            <v>k 31.10.2014</v>
          </cell>
          <cell r="C50">
            <v>735572.8469</v>
          </cell>
        </row>
        <row r="51">
          <cell r="B51" t="str">
            <v>k 30. 11 2014</v>
          </cell>
          <cell r="C51">
            <v>734733.95982000011</v>
          </cell>
        </row>
        <row r="52">
          <cell r="B52" t="str">
            <v>k 31.12.2014</v>
          </cell>
          <cell r="C52">
            <v>725513.39975999994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9"/>
  <sheetViews>
    <sheetView workbookViewId="0"/>
  </sheetViews>
  <sheetFormatPr defaultColWidth="8" defaultRowHeight="15" x14ac:dyDescent="0.2"/>
  <cols>
    <col min="1" max="1" width="50.85546875" style="92" customWidth="1"/>
    <col min="2" max="2" width="17" style="92" customWidth="1"/>
    <col min="3" max="3" width="17" style="13" customWidth="1"/>
    <col min="4" max="4" width="15.28515625" style="92" customWidth="1"/>
    <col min="5" max="6" width="10.28515625" style="92" customWidth="1"/>
    <col min="7" max="7" width="12.5703125" style="92" customWidth="1"/>
    <col min="8" max="8" width="10.140625" style="92" bestFit="1" customWidth="1"/>
    <col min="9" max="9" width="15" style="92" customWidth="1"/>
    <col min="10" max="16384" width="8" style="92"/>
  </cols>
  <sheetData>
    <row r="1" spans="1:7" x14ac:dyDescent="0.2">
      <c r="A1" s="244"/>
    </row>
    <row r="3" spans="1:7" x14ac:dyDescent="0.2">
      <c r="A3" s="246" t="s">
        <v>211</v>
      </c>
      <c r="B3" s="247"/>
      <c r="C3" s="248"/>
      <c r="D3" s="247"/>
    </row>
    <row r="4" spans="1:7" x14ac:dyDescent="0.2">
      <c r="B4" s="247"/>
      <c r="C4" s="248"/>
      <c r="D4" s="247"/>
    </row>
    <row r="5" spans="1:7" x14ac:dyDescent="0.2">
      <c r="A5" s="247"/>
      <c r="B5" s="247"/>
      <c r="C5" s="248"/>
      <c r="G5" s="249" t="s">
        <v>3</v>
      </c>
    </row>
    <row r="6" spans="1:7" ht="45" x14ac:dyDescent="0.2">
      <c r="A6" s="250" t="s">
        <v>1</v>
      </c>
      <c r="B6" s="251" t="s">
        <v>212</v>
      </c>
      <c r="C6" s="251" t="s">
        <v>213</v>
      </c>
      <c r="D6" s="251" t="s">
        <v>214</v>
      </c>
      <c r="E6" s="252" t="s">
        <v>177</v>
      </c>
      <c r="F6" s="252" t="s">
        <v>215</v>
      </c>
      <c r="G6" s="253" t="s">
        <v>242</v>
      </c>
    </row>
    <row r="7" spans="1:7" x14ac:dyDescent="0.2">
      <c r="A7" s="253" t="s">
        <v>0</v>
      </c>
      <c r="B7" s="253">
        <v>1</v>
      </c>
      <c r="C7" s="254">
        <v>2</v>
      </c>
      <c r="D7" s="253">
        <v>3</v>
      </c>
      <c r="E7" s="255">
        <v>4</v>
      </c>
      <c r="F7" s="255">
        <v>5</v>
      </c>
      <c r="G7" s="253">
        <v>6</v>
      </c>
    </row>
    <row r="8" spans="1:7" x14ac:dyDescent="0.2">
      <c r="A8" s="256" t="s">
        <v>216</v>
      </c>
      <c r="B8" s="257"/>
      <c r="C8" s="258"/>
      <c r="D8" s="257"/>
      <c r="E8" s="259"/>
      <c r="F8" s="259"/>
      <c r="G8" s="266"/>
    </row>
    <row r="9" spans="1:7" x14ac:dyDescent="0.2">
      <c r="A9" s="259" t="s">
        <v>217</v>
      </c>
      <c r="B9" s="260">
        <v>6643204</v>
      </c>
      <c r="C9" s="260">
        <v>6927884</v>
      </c>
      <c r="D9" s="260">
        <v>6899728</v>
      </c>
      <c r="E9" s="261">
        <v>99.593584419138665</v>
      </c>
      <c r="F9" s="260">
        <v>-28156</v>
      </c>
      <c r="G9" s="261">
        <v>103.86144998708455</v>
      </c>
    </row>
    <row r="10" spans="1:7" x14ac:dyDescent="0.2">
      <c r="A10" s="259" t="s">
        <v>218</v>
      </c>
      <c r="B10" s="260">
        <v>673544</v>
      </c>
      <c r="C10" s="260">
        <v>1061960</v>
      </c>
      <c r="D10" s="260">
        <v>900895</v>
      </c>
      <c r="E10" s="261">
        <v>84.83323289012769</v>
      </c>
      <c r="F10" s="260">
        <v>-161065</v>
      </c>
      <c r="G10" s="261">
        <v>133.75443920515957</v>
      </c>
    </row>
    <row r="11" spans="1:7" x14ac:dyDescent="0.2">
      <c r="A11" s="259" t="s">
        <v>219</v>
      </c>
      <c r="B11" s="260">
        <v>6653267</v>
      </c>
      <c r="C11" s="260">
        <v>6895823</v>
      </c>
      <c r="D11" s="260">
        <v>6959916</v>
      </c>
      <c r="E11" s="261">
        <v>100.92944670998661</v>
      </c>
      <c r="F11" s="260">
        <v>64093</v>
      </c>
      <c r="G11" s="261">
        <v>104.60899885725314</v>
      </c>
    </row>
    <row r="12" spans="1:7" x14ac:dyDescent="0.2">
      <c r="A12" s="259" t="s">
        <v>220</v>
      </c>
      <c r="B12" s="260">
        <v>-10063</v>
      </c>
      <c r="C12" s="260">
        <v>32061</v>
      </c>
      <c r="D12" s="260">
        <v>-60188</v>
      </c>
      <c r="E12" s="262" t="s">
        <v>194</v>
      </c>
      <c r="F12" s="260">
        <v>-92249</v>
      </c>
      <c r="G12" s="262" t="s">
        <v>194</v>
      </c>
    </row>
    <row r="13" spans="1:7" x14ac:dyDescent="0.2">
      <c r="A13" s="259" t="s">
        <v>221</v>
      </c>
      <c r="B13" s="260">
        <v>531638</v>
      </c>
      <c r="C13" s="260">
        <v>499500</v>
      </c>
      <c r="D13" s="260">
        <v>521575</v>
      </c>
      <c r="E13" s="261">
        <v>104.41941941941941</v>
      </c>
      <c r="F13" s="260">
        <v>22075</v>
      </c>
      <c r="G13" s="261">
        <v>98.107170668763331</v>
      </c>
    </row>
    <row r="14" spans="1:7" x14ac:dyDescent="0.2">
      <c r="A14" s="259" t="s">
        <v>222</v>
      </c>
      <c r="B14" s="260">
        <v>521575</v>
      </c>
      <c r="C14" s="260">
        <v>531561</v>
      </c>
      <c r="D14" s="260">
        <v>461387</v>
      </c>
      <c r="E14" s="261">
        <v>86.798504781201018</v>
      </c>
      <c r="F14" s="260">
        <v>-70174</v>
      </c>
      <c r="G14" s="261">
        <v>88.460336480851268</v>
      </c>
    </row>
    <row r="15" spans="1:7" x14ac:dyDescent="0.2">
      <c r="A15" s="259" t="s">
        <v>223</v>
      </c>
      <c r="B15" s="260">
        <v>7174842</v>
      </c>
      <c r="C15" s="260">
        <v>7427384</v>
      </c>
      <c r="D15" s="260">
        <v>7421303</v>
      </c>
      <c r="E15" s="261">
        <v>99.918127297578792</v>
      </c>
      <c r="F15" s="260">
        <v>-6081</v>
      </c>
      <c r="G15" s="261">
        <v>103.43507215908031</v>
      </c>
    </row>
    <row r="16" spans="1:7" x14ac:dyDescent="0.2">
      <c r="A16" s="259"/>
      <c r="B16" s="260"/>
      <c r="C16" s="263"/>
      <c r="D16" s="264"/>
      <c r="E16" s="265"/>
      <c r="F16" s="264"/>
      <c r="G16" s="268"/>
    </row>
    <row r="17" spans="1:9" x14ac:dyDescent="0.2">
      <c r="A17" s="266" t="s">
        <v>224</v>
      </c>
      <c r="B17" s="267">
        <v>6643204</v>
      </c>
      <c r="C17" s="267">
        <v>6927884</v>
      </c>
      <c r="D17" s="267">
        <v>6899728</v>
      </c>
      <c r="E17" s="261">
        <v>99.593584419138665</v>
      </c>
      <c r="F17" s="260">
        <v>-28156</v>
      </c>
      <c r="G17" s="271">
        <v>103.86144998708455</v>
      </c>
      <c r="H17" s="245"/>
    </row>
    <row r="18" spans="1:9" x14ac:dyDescent="0.2">
      <c r="A18" s="259" t="s">
        <v>225</v>
      </c>
      <c r="B18" s="260">
        <v>5924635</v>
      </c>
      <c r="C18" s="260">
        <v>5823423</v>
      </c>
      <c r="D18" s="260">
        <v>5956714</v>
      </c>
      <c r="E18" s="261">
        <v>102.28887717756379</v>
      </c>
      <c r="F18" s="260">
        <v>133291</v>
      </c>
      <c r="G18" s="261">
        <v>100.541451076733</v>
      </c>
      <c r="H18" s="245"/>
      <c r="I18" s="245"/>
    </row>
    <row r="19" spans="1:9" x14ac:dyDescent="0.2">
      <c r="A19" s="259" t="s">
        <v>226</v>
      </c>
      <c r="B19" s="260">
        <v>482783</v>
      </c>
      <c r="C19" s="260">
        <v>484466</v>
      </c>
      <c r="D19" s="260">
        <v>515048</v>
      </c>
      <c r="E19" s="261">
        <v>106.31251728707485</v>
      </c>
      <c r="F19" s="260">
        <v>30582</v>
      </c>
      <c r="G19" s="261">
        <v>106.68312678781152</v>
      </c>
    </row>
    <row r="20" spans="1:9" x14ac:dyDescent="0.2">
      <c r="A20" s="259" t="s">
        <v>227</v>
      </c>
      <c r="B20" s="260">
        <v>3085014</v>
      </c>
      <c r="C20" s="260">
        <v>2936865</v>
      </c>
      <c r="D20" s="260">
        <v>2978417</v>
      </c>
      <c r="E20" s="261">
        <v>101.4148420169126</v>
      </c>
      <c r="F20" s="260">
        <v>41552</v>
      </c>
      <c r="G20" s="261">
        <v>96.544683427692718</v>
      </c>
    </row>
    <row r="21" spans="1:9" x14ac:dyDescent="0.2">
      <c r="A21" s="259" t="s">
        <v>228</v>
      </c>
      <c r="B21" s="260">
        <v>1049260</v>
      </c>
      <c r="C21" s="260">
        <v>1068546</v>
      </c>
      <c r="D21" s="260">
        <v>1090429</v>
      </c>
      <c r="E21" s="261">
        <v>102.04792306554889</v>
      </c>
      <c r="F21" s="260">
        <v>21883</v>
      </c>
      <c r="G21" s="261">
        <v>103.92362236242685</v>
      </c>
    </row>
    <row r="22" spans="1:9" x14ac:dyDescent="0.2">
      <c r="A22" s="259" t="s">
        <v>229</v>
      </c>
      <c r="B22" s="260">
        <v>135020</v>
      </c>
      <c r="C22" s="260">
        <v>140612</v>
      </c>
      <c r="D22" s="260">
        <v>141702</v>
      </c>
      <c r="E22" s="261">
        <v>100.77518277245186</v>
      </c>
      <c r="F22" s="260">
        <v>1090</v>
      </c>
      <c r="G22" s="261">
        <v>104.94889645978374</v>
      </c>
    </row>
    <row r="23" spans="1:9" x14ac:dyDescent="0.2">
      <c r="A23" s="92" t="s">
        <v>230</v>
      </c>
      <c r="B23" s="260">
        <v>32756</v>
      </c>
      <c r="C23" s="260">
        <v>34599</v>
      </c>
      <c r="D23" s="260">
        <v>34333</v>
      </c>
      <c r="E23" s="261">
        <v>99.231191652937952</v>
      </c>
      <c r="F23" s="260">
        <v>-266</v>
      </c>
      <c r="G23" s="261">
        <v>104.81438515081207</v>
      </c>
    </row>
    <row r="24" spans="1:9" x14ac:dyDescent="0.2">
      <c r="A24" s="259" t="s">
        <v>231</v>
      </c>
      <c r="B24" s="260">
        <v>306305</v>
      </c>
      <c r="C24" s="260">
        <v>307035</v>
      </c>
      <c r="D24" s="260">
        <v>320902</v>
      </c>
      <c r="E24" s="261">
        <v>104.51642320908039</v>
      </c>
      <c r="F24" s="260">
        <v>13867</v>
      </c>
      <c r="G24" s="261">
        <v>104.7655114999755</v>
      </c>
    </row>
    <row r="25" spans="1:9" x14ac:dyDescent="0.2">
      <c r="A25" s="259" t="s">
        <v>232</v>
      </c>
      <c r="B25" s="260">
        <v>833497</v>
      </c>
      <c r="C25" s="260">
        <v>851300</v>
      </c>
      <c r="D25" s="260">
        <v>875883</v>
      </c>
      <c r="E25" s="261">
        <v>102.88770116292729</v>
      </c>
      <c r="F25" s="260">
        <v>24583</v>
      </c>
      <c r="G25" s="261">
        <v>105.08532124290791</v>
      </c>
    </row>
    <row r="26" spans="1:9" x14ac:dyDescent="0.2">
      <c r="A26" s="259" t="s">
        <v>233</v>
      </c>
      <c r="B26" s="260">
        <v>14645</v>
      </c>
      <c r="C26" s="260">
        <v>14916</v>
      </c>
      <c r="D26" s="260">
        <v>17460</v>
      </c>
      <c r="E26" s="261">
        <v>117.0555108608206</v>
      </c>
      <c r="F26" s="260">
        <v>2544</v>
      </c>
      <c r="G26" s="261">
        <v>119.2215773301468</v>
      </c>
    </row>
    <row r="27" spans="1:9" x14ac:dyDescent="0.2">
      <c r="A27" s="259" t="s">
        <v>86</v>
      </c>
      <c r="B27" s="260">
        <v>20111</v>
      </c>
      <c r="C27" s="260">
        <v>15950</v>
      </c>
      <c r="D27" s="260">
        <v>18746</v>
      </c>
      <c r="E27" s="261">
        <v>117.52978056426333</v>
      </c>
      <c r="F27" s="260">
        <v>2796</v>
      </c>
      <c r="G27" s="261">
        <v>93.212669683257914</v>
      </c>
    </row>
    <row r="28" spans="1:9" x14ac:dyDescent="0.2">
      <c r="A28" s="259" t="s">
        <v>234</v>
      </c>
      <c r="B28" s="260">
        <v>10269</v>
      </c>
      <c r="C28" s="260">
        <v>11635</v>
      </c>
      <c r="D28" s="260">
        <v>5913</v>
      </c>
      <c r="E28" s="261">
        <v>50.820799312419432</v>
      </c>
      <c r="F28" s="260">
        <v>-5722</v>
      </c>
      <c r="G28" s="261">
        <v>57.581069237510953</v>
      </c>
    </row>
    <row r="29" spans="1:9" x14ac:dyDescent="0.2">
      <c r="A29" s="259" t="s">
        <v>235</v>
      </c>
      <c r="B29" s="260">
        <v>673544</v>
      </c>
      <c r="C29" s="260">
        <v>1061960</v>
      </c>
      <c r="D29" s="260">
        <v>900895</v>
      </c>
      <c r="E29" s="261">
        <v>84.83323289012769</v>
      </c>
      <c r="F29" s="260">
        <v>-161065</v>
      </c>
      <c r="G29" s="261">
        <v>133.75443920515957</v>
      </c>
    </row>
    <row r="30" spans="1:9" x14ac:dyDescent="0.2">
      <c r="A30" s="268"/>
      <c r="B30" s="264"/>
      <c r="C30" s="264"/>
      <c r="D30" s="264"/>
      <c r="E30" s="265"/>
      <c r="F30" s="264"/>
      <c r="G30" s="268"/>
    </row>
    <row r="31" spans="1:9" x14ac:dyDescent="0.2">
      <c r="A31" s="266" t="s">
        <v>236</v>
      </c>
      <c r="B31" s="267">
        <v>6653267</v>
      </c>
      <c r="C31" s="267">
        <v>6895823</v>
      </c>
      <c r="D31" s="267">
        <v>6959916</v>
      </c>
      <c r="E31" s="261">
        <v>100.92944670998661</v>
      </c>
      <c r="F31" s="260">
        <v>64093</v>
      </c>
      <c r="G31" s="271">
        <v>104.60899885725314</v>
      </c>
    </row>
    <row r="32" spans="1:9" x14ac:dyDescent="0.2">
      <c r="A32" s="259" t="s">
        <v>237</v>
      </c>
      <c r="B32" s="260">
        <v>6528515</v>
      </c>
      <c r="C32" s="260">
        <v>6789823</v>
      </c>
      <c r="D32" s="260">
        <v>6836359</v>
      </c>
      <c r="E32" s="261">
        <v>100.68537869102036</v>
      </c>
      <c r="F32" s="260">
        <v>46536</v>
      </c>
      <c r="G32" s="261">
        <v>104.7153755486508</v>
      </c>
    </row>
    <row r="33" spans="1:7" x14ac:dyDescent="0.2">
      <c r="A33" s="259" t="s">
        <v>7</v>
      </c>
      <c r="B33" s="260">
        <v>399434</v>
      </c>
      <c r="C33" s="260">
        <v>438175</v>
      </c>
      <c r="D33" s="260">
        <v>380812</v>
      </c>
      <c r="E33" s="261">
        <v>86.908655217664176</v>
      </c>
      <c r="F33" s="260">
        <v>-57363</v>
      </c>
      <c r="G33" s="261">
        <v>95.337903132933093</v>
      </c>
    </row>
    <row r="34" spans="1:7" x14ac:dyDescent="0.2">
      <c r="A34" s="259" t="s">
        <v>13</v>
      </c>
      <c r="B34" s="260">
        <v>4992741</v>
      </c>
      <c r="C34" s="260">
        <v>5159884</v>
      </c>
      <c r="D34" s="260">
        <v>5328096</v>
      </c>
      <c r="E34" s="261">
        <v>103.25999576734671</v>
      </c>
      <c r="F34" s="260">
        <v>168212</v>
      </c>
      <c r="G34" s="261">
        <v>106.71685152504406</v>
      </c>
    </row>
    <row r="35" spans="1:7" x14ac:dyDescent="0.2">
      <c r="A35" s="259" t="s">
        <v>20</v>
      </c>
      <c r="B35" s="260">
        <v>901454</v>
      </c>
      <c r="C35" s="260">
        <v>943359</v>
      </c>
      <c r="D35" s="260">
        <v>913914</v>
      </c>
      <c r="E35" s="261">
        <v>96.878706833771673</v>
      </c>
      <c r="F35" s="260">
        <v>-29445</v>
      </c>
      <c r="G35" s="261">
        <v>101.38221140512994</v>
      </c>
    </row>
    <row r="36" spans="1:7" x14ac:dyDescent="0.2">
      <c r="A36" s="259" t="s">
        <v>25</v>
      </c>
      <c r="B36" s="260">
        <v>44280</v>
      </c>
      <c r="C36" s="260">
        <v>45828</v>
      </c>
      <c r="D36" s="260">
        <v>44583</v>
      </c>
      <c r="E36" s="261">
        <v>97.283320240900764</v>
      </c>
      <c r="F36" s="260">
        <v>-1245</v>
      </c>
      <c r="G36" s="261">
        <v>100.68428184281844</v>
      </c>
    </row>
    <row r="37" spans="1:7" x14ac:dyDescent="0.2">
      <c r="A37" s="259" t="s">
        <v>39</v>
      </c>
      <c r="B37" s="260">
        <v>16298</v>
      </c>
      <c r="C37" s="260">
        <v>19182</v>
      </c>
      <c r="D37" s="260">
        <v>14233</v>
      </c>
      <c r="E37" s="261">
        <v>74.199770618287971</v>
      </c>
      <c r="F37" s="260">
        <v>-4949</v>
      </c>
      <c r="G37" s="261">
        <v>87.329733709657631</v>
      </c>
    </row>
    <row r="38" spans="1:7" x14ac:dyDescent="0.2">
      <c r="A38" s="259" t="s">
        <v>43</v>
      </c>
      <c r="B38" s="260">
        <v>174308</v>
      </c>
      <c r="C38" s="260">
        <v>183395</v>
      </c>
      <c r="D38" s="260">
        <v>154721</v>
      </c>
      <c r="E38" s="261">
        <v>84.364895444259659</v>
      </c>
      <c r="F38" s="260">
        <v>-28674</v>
      </c>
      <c r="G38" s="261">
        <v>88.762994240080772</v>
      </c>
    </row>
    <row r="39" spans="1:7" x14ac:dyDescent="0.2">
      <c r="A39" s="259" t="s">
        <v>238</v>
      </c>
      <c r="B39" s="260">
        <v>124752</v>
      </c>
      <c r="C39" s="260">
        <v>106000</v>
      </c>
      <c r="D39" s="260">
        <v>123557</v>
      </c>
      <c r="E39" s="261">
        <v>116.5632075471698</v>
      </c>
      <c r="F39" s="260">
        <v>17557</v>
      </c>
      <c r="G39" s="261">
        <v>99.042099525458511</v>
      </c>
    </row>
    <row r="40" spans="1:7" x14ac:dyDescent="0.2">
      <c r="A40" s="268"/>
      <c r="B40" s="268"/>
      <c r="C40" s="268"/>
      <c r="D40" s="268"/>
      <c r="E40" s="268"/>
      <c r="F40" s="268"/>
      <c r="G40" s="268"/>
    </row>
    <row r="41" spans="1:7" x14ac:dyDescent="0.2">
      <c r="A41" s="269" t="s">
        <v>238</v>
      </c>
      <c r="B41" s="269"/>
      <c r="C41" s="270"/>
      <c r="D41" s="269"/>
      <c r="E41" s="271"/>
      <c r="F41" s="267"/>
      <c r="G41" s="266"/>
    </row>
    <row r="42" spans="1:7" x14ac:dyDescent="0.2">
      <c r="A42" s="272" t="s">
        <v>239</v>
      </c>
      <c r="B42" s="273">
        <v>143319</v>
      </c>
      <c r="C42" s="273">
        <v>141794</v>
      </c>
      <c r="D42" s="273">
        <v>145017</v>
      </c>
      <c r="E42" s="261">
        <v>102.27301578346051</v>
      </c>
      <c r="F42" s="260">
        <v>3223</v>
      </c>
      <c r="G42" s="261">
        <v>101.18476963975466</v>
      </c>
    </row>
    <row r="43" spans="1:7" x14ac:dyDescent="0.2">
      <c r="A43" s="272" t="s">
        <v>240</v>
      </c>
      <c r="B43" s="273">
        <v>124752</v>
      </c>
      <c r="C43" s="273">
        <v>106000</v>
      </c>
      <c r="D43" s="273">
        <v>123557</v>
      </c>
      <c r="E43" s="261">
        <v>116.5632075471698</v>
      </c>
      <c r="F43" s="260">
        <v>17557</v>
      </c>
      <c r="G43" s="261">
        <v>99.042099525458511</v>
      </c>
    </row>
    <row r="44" spans="1:7" x14ac:dyDescent="0.2">
      <c r="A44" s="259" t="s">
        <v>220</v>
      </c>
      <c r="B44" s="273">
        <v>18567</v>
      </c>
      <c r="C44" s="273">
        <v>35794</v>
      </c>
      <c r="D44" s="273">
        <v>21460</v>
      </c>
      <c r="E44" s="261">
        <v>59.954182265184109</v>
      </c>
      <c r="F44" s="260">
        <v>-14334</v>
      </c>
      <c r="G44" s="261">
        <v>115.58140787418539</v>
      </c>
    </row>
    <row r="45" spans="1:7" x14ac:dyDescent="0.2">
      <c r="A45" s="259" t="s">
        <v>221</v>
      </c>
      <c r="B45" s="273">
        <v>54578</v>
      </c>
      <c r="C45" s="273">
        <v>71237</v>
      </c>
      <c r="D45" s="273">
        <v>0</v>
      </c>
      <c r="E45" s="261">
        <v>0</v>
      </c>
      <c r="F45" s="260">
        <v>-71237</v>
      </c>
      <c r="G45" s="261">
        <v>0</v>
      </c>
    </row>
    <row r="46" spans="1:7" x14ac:dyDescent="0.2">
      <c r="A46" s="268" t="s">
        <v>222</v>
      </c>
      <c r="B46" s="274">
        <v>73145</v>
      </c>
      <c r="C46" s="274">
        <v>107031</v>
      </c>
      <c r="D46" s="274">
        <v>21460</v>
      </c>
      <c r="E46" s="265">
        <v>20.05026581083985</v>
      </c>
      <c r="F46" s="264">
        <v>-85571</v>
      </c>
      <c r="G46" s="265">
        <v>29.338984209446988</v>
      </c>
    </row>
    <row r="48" spans="1:7" x14ac:dyDescent="0.2">
      <c r="A48" s="275" t="s">
        <v>241</v>
      </c>
    </row>
    <row r="49" spans="1:3" x14ac:dyDescent="0.2">
      <c r="A49" s="276"/>
      <c r="C49" s="92"/>
    </row>
  </sheetData>
  <phoneticPr fontId="34" type="noConversion"/>
  <pageMargins left="0.70866141732283472" right="0.70866141732283472" top="0.51181102362204722" bottom="0.43307086614173229" header="0.31496062992125984" footer="0.31496062992125984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2FED"/>
    <pageSetUpPr fitToPage="1"/>
  </sheetPr>
  <dimension ref="B3:W37"/>
  <sheetViews>
    <sheetView zoomScale="90" zoomScaleNormal="90" workbookViewId="0">
      <selection activeCell="C22" sqref="C22:H22"/>
    </sheetView>
  </sheetViews>
  <sheetFormatPr defaultRowHeight="14.25" x14ac:dyDescent="0.2"/>
  <cols>
    <col min="1" max="1" width="9.140625" style="539"/>
    <col min="2" max="2" width="34.28515625" style="539" customWidth="1"/>
    <col min="3" max="3" width="20.7109375" style="539" customWidth="1"/>
    <col min="4" max="4" width="13" style="539" customWidth="1"/>
    <col min="5" max="5" width="12" style="539" customWidth="1"/>
    <col min="6" max="6" width="11.5703125" style="539" customWidth="1"/>
    <col min="7" max="15" width="12" style="539" customWidth="1"/>
    <col min="16" max="16" width="12.5703125" style="539" customWidth="1"/>
    <col min="17" max="21" width="12.7109375" style="539" customWidth="1"/>
    <col min="22" max="22" width="25" style="539" customWidth="1"/>
    <col min="23" max="23" width="12.28515625" style="539" customWidth="1"/>
    <col min="24" max="268" width="9.140625" style="539"/>
    <col min="269" max="269" width="34.28515625" style="539" customWidth="1"/>
    <col min="270" max="270" width="28.7109375" style="539" customWidth="1"/>
    <col min="271" max="276" width="10.28515625" style="539" customWidth="1"/>
    <col min="277" max="277" width="11.7109375" style="539" customWidth="1"/>
    <col min="278" max="278" width="25" style="539" customWidth="1"/>
    <col min="279" max="279" width="12.28515625" style="539" customWidth="1"/>
    <col min="280" max="524" width="9.140625" style="539"/>
    <col min="525" max="525" width="34.28515625" style="539" customWidth="1"/>
    <col min="526" max="526" width="28.7109375" style="539" customWidth="1"/>
    <col min="527" max="532" width="10.28515625" style="539" customWidth="1"/>
    <col min="533" max="533" width="11.7109375" style="539" customWidth="1"/>
    <col min="534" max="534" width="25" style="539" customWidth="1"/>
    <col min="535" max="535" width="12.28515625" style="539" customWidth="1"/>
    <col min="536" max="780" width="9.140625" style="539"/>
    <col min="781" max="781" width="34.28515625" style="539" customWidth="1"/>
    <col min="782" max="782" width="28.7109375" style="539" customWidth="1"/>
    <col min="783" max="788" width="10.28515625" style="539" customWidth="1"/>
    <col min="789" max="789" width="11.7109375" style="539" customWidth="1"/>
    <col min="790" max="790" width="25" style="539" customWidth="1"/>
    <col min="791" max="791" width="12.28515625" style="539" customWidth="1"/>
    <col min="792" max="1036" width="9.140625" style="539"/>
    <col min="1037" max="1037" width="34.28515625" style="539" customWidth="1"/>
    <col min="1038" max="1038" width="28.7109375" style="539" customWidth="1"/>
    <col min="1039" max="1044" width="10.28515625" style="539" customWidth="1"/>
    <col min="1045" max="1045" width="11.7109375" style="539" customWidth="1"/>
    <col min="1046" max="1046" width="25" style="539" customWidth="1"/>
    <col min="1047" max="1047" width="12.28515625" style="539" customWidth="1"/>
    <col min="1048" max="1292" width="9.140625" style="539"/>
    <col min="1293" max="1293" width="34.28515625" style="539" customWidth="1"/>
    <col min="1294" max="1294" width="28.7109375" style="539" customWidth="1"/>
    <col min="1295" max="1300" width="10.28515625" style="539" customWidth="1"/>
    <col min="1301" max="1301" width="11.7109375" style="539" customWidth="1"/>
    <col min="1302" max="1302" width="25" style="539" customWidth="1"/>
    <col min="1303" max="1303" width="12.28515625" style="539" customWidth="1"/>
    <col min="1304" max="1548" width="9.140625" style="539"/>
    <col min="1549" max="1549" width="34.28515625" style="539" customWidth="1"/>
    <col min="1550" max="1550" width="28.7109375" style="539" customWidth="1"/>
    <col min="1551" max="1556" width="10.28515625" style="539" customWidth="1"/>
    <col min="1557" max="1557" width="11.7109375" style="539" customWidth="1"/>
    <col min="1558" max="1558" width="25" style="539" customWidth="1"/>
    <col min="1559" max="1559" width="12.28515625" style="539" customWidth="1"/>
    <col min="1560" max="1804" width="9.140625" style="539"/>
    <col min="1805" max="1805" width="34.28515625" style="539" customWidth="1"/>
    <col min="1806" max="1806" width="28.7109375" style="539" customWidth="1"/>
    <col min="1807" max="1812" width="10.28515625" style="539" customWidth="1"/>
    <col min="1813" max="1813" width="11.7109375" style="539" customWidth="1"/>
    <col min="1814" max="1814" width="25" style="539" customWidth="1"/>
    <col min="1815" max="1815" width="12.28515625" style="539" customWidth="1"/>
    <col min="1816" max="2060" width="9.140625" style="539"/>
    <col min="2061" max="2061" width="34.28515625" style="539" customWidth="1"/>
    <col min="2062" max="2062" width="28.7109375" style="539" customWidth="1"/>
    <col min="2063" max="2068" width="10.28515625" style="539" customWidth="1"/>
    <col min="2069" max="2069" width="11.7109375" style="539" customWidth="1"/>
    <col min="2070" max="2070" width="25" style="539" customWidth="1"/>
    <col min="2071" max="2071" width="12.28515625" style="539" customWidth="1"/>
    <col min="2072" max="2316" width="9.140625" style="539"/>
    <col min="2317" max="2317" width="34.28515625" style="539" customWidth="1"/>
    <col min="2318" max="2318" width="28.7109375" style="539" customWidth="1"/>
    <col min="2319" max="2324" width="10.28515625" style="539" customWidth="1"/>
    <col min="2325" max="2325" width="11.7109375" style="539" customWidth="1"/>
    <col min="2326" max="2326" width="25" style="539" customWidth="1"/>
    <col min="2327" max="2327" width="12.28515625" style="539" customWidth="1"/>
    <col min="2328" max="2572" width="9.140625" style="539"/>
    <col min="2573" max="2573" width="34.28515625" style="539" customWidth="1"/>
    <col min="2574" max="2574" width="28.7109375" style="539" customWidth="1"/>
    <col min="2575" max="2580" width="10.28515625" style="539" customWidth="1"/>
    <col min="2581" max="2581" width="11.7109375" style="539" customWidth="1"/>
    <col min="2582" max="2582" width="25" style="539" customWidth="1"/>
    <col min="2583" max="2583" width="12.28515625" style="539" customWidth="1"/>
    <col min="2584" max="2828" width="9.140625" style="539"/>
    <col min="2829" max="2829" width="34.28515625" style="539" customWidth="1"/>
    <col min="2830" max="2830" width="28.7109375" style="539" customWidth="1"/>
    <col min="2831" max="2836" width="10.28515625" style="539" customWidth="1"/>
    <col min="2837" max="2837" width="11.7109375" style="539" customWidth="1"/>
    <col min="2838" max="2838" width="25" style="539" customWidth="1"/>
    <col min="2839" max="2839" width="12.28515625" style="539" customWidth="1"/>
    <col min="2840" max="3084" width="9.140625" style="539"/>
    <col min="3085" max="3085" width="34.28515625" style="539" customWidth="1"/>
    <col min="3086" max="3086" width="28.7109375" style="539" customWidth="1"/>
    <col min="3087" max="3092" width="10.28515625" style="539" customWidth="1"/>
    <col min="3093" max="3093" width="11.7109375" style="539" customWidth="1"/>
    <col min="3094" max="3094" width="25" style="539" customWidth="1"/>
    <col min="3095" max="3095" width="12.28515625" style="539" customWidth="1"/>
    <col min="3096" max="3340" width="9.140625" style="539"/>
    <col min="3341" max="3341" width="34.28515625" style="539" customWidth="1"/>
    <col min="3342" max="3342" width="28.7109375" style="539" customWidth="1"/>
    <col min="3343" max="3348" width="10.28515625" style="539" customWidth="1"/>
    <col min="3349" max="3349" width="11.7109375" style="539" customWidth="1"/>
    <col min="3350" max="3350" width="25" style="539" customWidth="1"/>
    <col min="3351" max="3351" width="12.28515625" style="539" customWidth="1"/>
    <col min="3352" max="3596" width="9.140625" style="539"/>
    <col min="3597" max="3597" width="34.28515625" style="539" customWidth="1"/>
    <col min="3598" max="3598" width="28.7109375" style="539" customWidth="1"/>
    <col min="3599" max="3604" width="10.28515625" style="539" customWidth="1"/>
    <col min="3605" max="3605" width="11.7109375" style="539" customWidth="1"/>
    <col min="3606" max="3606" width="25" style="539" customWidth="1"/>
    <col min="3607" max="3607" width="12.28515625" style="539" customWidth="1"/>
    <col min="3608" max="3852" width="9.140625" style="539"/>
    <col min="3853" max="3853" width="34.28515625" style="539" customWidth="1"/>
    <col min="3854" max="3854" width="28.7109375" style="539" customWidth="1"/>
    <col min="3855" max="3860" width="10.28515625" style="539" customWidth="1"/>
    <col min="3861" max="3861" width="11.7109375" style="539" customWidth="1"/>
    <col min="3862" max="3862" width="25" style="539" customWidth="1"/>
    <col min="3863" max="3863" width="12.28515625" style="539" customWidth="1"/>
    <col min="3864" max="4108" width="9.140625" style="539"/>
    <col min="4109" max="4109" width="34.28515625" style="539" customWidth="1"/>
    <col min="4110" max="4110" width="28.7109375" style="539" customWidth="1"/>
    <col min="4111" max="4116" width="10.28515625" style="539" customWidth="1"/>
    <col min="4117" max="4117" width="11.7109375" style="539" customWidth="1"/>
    <col min="4118" max="4118" width="25" style="539" customWidth="1"/>
    <col min="4119" max="4119" width="12.28515625" style="539" customWidth="1"/>
    <col min="4120" max="4364" width="9.140625" style="539"/>
    <col min="4365" max="4365" width="34.28515625" style="539" customWidth="1"/>
    <col min="4366" max="4366" width="28.7109375" style="539" customWidth="1"/>
    <col min="4367" max="4372" width="10.28515625" style="539" customWidth="1"/>
    <col min="4373" max="4373" width="11.7109375" style="539" customWidth="1"/>
    <col min="4374" max="4374" width="25" style="539" customWidth="1"/>
    <col min="4375" max="4375" width="12.28515625" style="539" customWidth="1"/>
    <col min="4376" max="4620" width="9.140625" style="539"/>
    <col min="4621" max="4621" width="34.28515625" style="539" customWidth="1"/>
    <col min="4622" max="4622" width="28.7109375" style="539" customWidth="1"/>
    <col min="4623" max="4628" width="10.28515625" style="539" customWidth="1"/>
    <col min="4629" max="4629" width="11.7109375" style="539" customWidth="1"/>
    <col min="4630" max="4630" width="25" style="539" customWidth="1"/>
    <col min="4631" max="4631" width="12.28515625" style="539" customWidth="1"/>
    <col min="4632" max="4876" width="9.140625" style="539"/>
    <col min="4877" max="4877" width="34.28515625" style="539" customWidth="1"/>
    <col min="4878" max="4878" width="28.7109375" style="539" customWidth="1"/>
    <col min="4879" max="4884" width="10.28515625" style="539" customWidth="1"/>
    <col min="4885" max="4885" width="11.7109375" style="539" customWidth="1"/>
    <col min="4886" max="4886" width="25" style="539" customWidth="1"/>
    <col min="4887" max="4887" width="12.28515625" style="539" customWidth="1"/>
    <col min="4888" max="5132" width="9.140625" style="539"/>
    <col min="5133" max="5133" width="34.28515625" style="539" customWidth="1"/>
    <col min="5134" max="5134" width="28.7109375" style="539" customWidth="1"/>
    <col min="5135" max="5140" width="10.28515625" style="539" customWidth="1"/>
    <col min="5141" max="5141" width="11.7109375" style="539" customWidth="1"/>
    <col min="5142" max="5142" width="25" style="539" customWidth="1"/>
    <col min="5143" max="5143" width="12.28515625" style="539" customWidth="1"/>
    <col min="5144" max="5388" width="9.140625" style="539"/>
    <col min="5389" max="5389" width="34.28515625" style="539" customWidth="1"/>
    <col min="5390" max="5390" width="28.7109375" style="539" customWidth="1"/>
    <col min="5391" max="5396" width="10.28515625" style="539" customWidth="1"/>
    <col min="5397" max="5397" width="11.7109375" style="539" customWidth="1"/>
    <col min="5398" max="5398" width="25" style="539" customWidth="1"/>
    <col min="5399" max="5399" width="12.28515625" style="539" customWidth="1"/>
    <col min="5400" max="5644" width="9.140625" style="539"/>
    <col min="5645" max="5645" width="34.28515625" style="539" customWidth="1"/>
    <col min="5646" max="5646" width="28.7109375" style="539" customWidth="1"/>
    <col min="5647" max="5652" width="10.28515625" style="539" customWidth="1"/>
    <col min="5653" max="5653" width="11.7109375" style="539" customWidth="1"/>
    <col min="5654" max="5654" width="25" style="539" customWidth="1"/>
    <col min="5655" max="5655" width="12.28515625" style="539" customWidth="1"/>
    <col min="5656" max="5900" width="9.140625" style="539"/>
    <col min="5901" max="5901" width="34.28515625" style="539" customWidth="1"/>
    <col min="5902" max="5902" width="28.7109375" style="539" customWidth="1"/>
    <col min="5903" max="5908" width="10.28515625" style="539" customWidth="1"/>
    <col min="5909" max="5909" width="11.7109375" style="539" customWidth="1"/>
    <col min="5910" max="5910" width="25" style="539" customWidth="1"/>
    <col min="5911" max="5911" width="12.28515625" style="539" customWidth="1"/>
    <col min="5912" max="6156" width="9.140625" style="539"/>
    <col min="6157" max="6157" width="34.28515625" style="539" customWidth="1"/>
    <col min="6158" max="6158" width="28.7109375" style="539" customWidth="1"/>
    <col min="6159" max="6164" width="10.28515625" style="539" customWidth="1"/>
    <col min="6165" max="6165" width="11.7109375" style="539" customWidth="1"/>
    <col min="6166" max="6166" width="25" style="539" customWidth="1"/>
    <col min="6167" max="6167" width="12.28515625" style="539" customWidth="1"/>
    <col min="6168" max="6412" width="9.140625" style="539"/>
    <col min="6413" max="6413" width="34.28515625" style="539" customWidth="1"/>
    <col min="6414" max="6414" width="28.7109375" style="539" customWidth="1"/>
    <col min="6415" max="6420" width="10.28515625" style="539" customWidth="1"/>
    <col min="6421" max="6421" width="11.7109375" style="539" customWidth="1"/>
    <col min="6422" max="6422" width="25" style="539" customWidth="1"/>
    <col min="6423" max="6423" width="12.28515625" style="539" customWidth="1"/>
    <col min="6424" max="6668" width="9.140625" style="539"/>
    <col min="6669" max="6669" width="34.28515625" style="539" customWidth="1"/>
    <col min="6670" max="6670" width="28.7109375" style="539" customWidth="1"/>
    <col min="6671" max="6676" width="10.28515625" style="539" customWidth="1"/>
    <col min="6677" max="6677" width="11.7109375" style="539" customWidth="1"/>
    <col min="6678" max="6678" width="25" style="539" customWidth="1"/>
    <col min="6679" max="6679" width="12.28515625" style="539" customWidth="1"/>
    <col min="6680" max="6924" width="9.140625" style="539"/>
    <col min="6925" max="6925" width="34.28515625" style="539" customWidth="1"/>
    <col min="6926" max="6926" width="28.7109375" style="539" customWidth="1"/>
    <col min="6927" max="6932" width="10.28515625" style="539" customWidth="1"/>
    <col min="6933" max="6933" width="11.7109375" style="539" customWidth="1"/>
    <col min="6934" max="6934" width="25" style="539" customWidth="1"/>
    <col min="6935" max="6935" width="12.28515625" style="539" customWidth="1"/>
    <col min="6936" max="7180" width="9.140625" style="539"/>
    <col min="7181" max="7181" width="34.28515625" style="539" customWidth="1"/>
    <col min="7182" max="7182" width="28.7109375" style="539" customWidth="1"/>
    <col min="7183" max="7188" width="10.28515625" style="539" customWidth="1"/>
    <col min="7189" max="7189" width="11.7109375" style="539" customWidth="1"/>
    <col min="7190" max="7190" width="25" style="539" customWidth="1"/>
    <col min="7191" max="7191" width="12.28515625" style="539" customWidth="1"/>
    <col min="7192" max="7436" width="9.140625" style="539"/>
    <col min="7437" max="7437" width="34.28515625" style="539" customWidth="1"/>
    <col min="7438" max="7438" width="28.7109375" style="539" customWidth="1"/>
    <col min="7439" max="7444" width="10.28515625" style="539" customWidth="1"/>
    <col min="7445" max="7445" width="11.7109375" style="539" customWidth="1"/>
    <col min="7446" max="7446" width="25" style="539" customWidth="1"/>
    <col min="7447" max="7447" width="12.28515625" style="539" customWidth="1"/>
    <col min="7448" max="7692" width="9.140625" style="539"/>
    <col min="7693" max="7693" width="34.28515625" style="539" customWidth="1"/>
    <col min="7694" max="7694" width="28.7109375" style="539" customWidth="1"/>
    <col min="7695" max="7700" width="10.28515625" style="539" customWidth="1"/>
    <col min="7701" max="7701" width="11.7109375" style="539" customWidth="1"/>
    <col min="7702" max="7702" width="25" style="539" customWidth="1"/>
    <col min="7703" max="7703" width="12.28515625" style="539" customWidth="1"/>
    <col min="7704" max="7948" width="9.140625" style="539"/>
    <col min="7949" max="7949" width="34.28515625" style="539" customWidth="1"/>
    <col min="7950" max="7950" width="28.7109375" style="539" customWidth="1"/>
    <col min="7951" max="7956" width="10.28515625" style="539" customWidth="1"/>
    <col min="7957" max="7957" width="11.7109375" style="539" customWidth="1"/>
    <col min="7958" max="7958" width="25" style="539" customWidth="1"/>
    <col min="7959" max="7959" width="12.28515625" style="539" customWidth="1"/>
    <col min="7960" max="8204" width="9.140625" style="539"/>
    <col min="8205" max="8205" width="34.28515625" style="539" customWidth="1"/>
    <col min="8206" max="8206" width="28.7109375" style="539" customWidth="1"/>
    <col min="8207" max="8212" width="10.28515625" style="539" customWidth="1"/>
    <col min="8213" max="8213" width="11.7109375" style="539" customWidth="1"/>
    <col min="8214" max="8214" width="25" style="539" customWidth="1"/>
    <col min="8215" max="8215" width="12.28515625" style="539" customWidth="1"/>
    <col min="8216" max="8460" width="9.140625" style="539"/>
    <col min="8461" max="8461" width="34.28515625" style="539" customWidth="1"/>
    <col min="8462" max="8462" width="28.7109375" style="539" customWidth="1"/>
    <col min="8463" max="8468" width="10.28515625" style="539" customWidth="1"/>
    <col min="8469" max="8469" width="11.7109375" style="539" customWidth="1"/>
    <col min="8470" max="8470" width="25" style="539" customWidth="1"/>
    <col min="8471" max="8471" width="12.28515625" style="539" customWidth="1"/>
    <col min="8472" max="8716" width="9.140625" style="539"/>
    <col min="8717" max="8717" width="34.28515625" style="539" customWidth="1"/>
    <col min="8718" max="8718" width="28.7109375" style="539" customWidth="1"/>
    <col min="8719" max="8724" width="10.28515625" style="539" customWidth="1"/>
    <col min="8725" max="8725" width="11.7109375" style="539" customWidth="1"/>
    <col min="8726" max="8726" width="25" style="539" customWidth="1"/>
    <col min="8727" max="8727" width="12.28515625" style="539" customWidth="1"/>
    <col min="8728" max="8972" width="9.140625" style="539"/>
    <col min="8973" max="8973" width="34.28515625" style="539" customWidth="1"/>
    <col min="8974" max="8974" width="28.7109375" style="539" customWidth="1"/>
    <col min="8975" max="8980" width="10.28515625" style="539" customWidth="1"/>
    <col min="8981" max="8981" width="11.7109375" style="539" customWidth="1"/>
    <col min="8982" max="8982" width="25" style="539" customWidth="1"/>
    <col min="8983" max="8983" width="12.28515625" style="539" customWidth="1"/>
    <col min="8984" max="9228" width="9.140625" style="539"/>
    <col min="9229" max="9229" width="34.28515625" style="539" customWidth="1"/>
    <col min="9230" max="9230" width="28.7109375" style="539" customWidth="1"/>
    <col min="9231" max="9236" width="10.28515625" style="539" customWidth="1"/>
    <col min="9237" max="9237" width="11.7109375" style="539" customWidth="1"/>
    <col min="9238" max="9238" width="25" style="539" customWidth="1"/>
    <col min="9239" max="9239" width="12.28515625" style="539" customWidth="1"/>
    <col min="9240" max="9484" width="9.140625" style="539"/>
    <col min="9485" max="9485" width="34.28515625" style="539" customWidth="1"/>
    <col min="9486" max="9486" width="28.7109375" style="539" customWidth="1"/>
    <col min="9487" max="9492" width="10.28515625" style="539" customWidth="1"/>
    <col min="9493" max="9493" width="11.7109375" style="539" customWidth="1"/>
    <col min="9494" max="9494" width="25" style="539" customWidth="1"/>
    <col min="9495" max="9495" width="12.28515625" style="539" customWidth="1"/>
    <col min="9496" max="9740" width="9.140625" style="539"/>
    <col min="9741" max="9741" width="34.28515625" style="539" customWidth="1"/>
    <col min="9742" max="9742" width="28.7109375" style="539" customWidth="1"/>
    <col min="9743" max="9748" width="10.28515625" style="539" customWidth="1"/>
    <col min="9749" max="9749" width="11.7109375" style="539" customWidth="1"/>
    <col min="9750" max="9750" width="25" style="539" customWidth="1"/>
    <col min="9751" max="9751" width="12.28515625" style="539" customWidth="1"/>
    <col min="9752" max="9996" width="9.140625" style="539"/>
    <col min="9997" max="9997" width="34.28515625" style="539" customWidth="1"/>
    <col min="9998" max="9998" width="28.7109375" style="539" customWidth="1"/>
    <col min="9999" max="10004" width="10.28515625" style="539" customWidth="1"/>
    <col min="10005" max="10005" width="11.7109375" style="539" customWidth="1"/>
    <col min="10006" max="10006" width="25" style="539" customWidth="1"/>
    <col min="10007" max="10007" width="12.28515625" style="539" customWidth="1"/>
    <col min="10008" max="10252" width="9.140625" style="539"/>
    <col min="10253" max="10253" width="34.28515625" style="539" customWidth="1"/>
    <col min="10254" max="10254" width="28.7109375" style="539" customWidth="1"/>
    <col min="10255" max="10260" width="10.28515625" style="539" customWidth="1"/>
    <col min="10261" max="10261" width="11.7109375" style="539" customWidth="1"/>
    <col min="10262" max="10262" width="25" style="539" customWidth="1"/>
    <col min="10263" max="10263" width="12.28515625" style="539" customWidth="1"/>
    <col min="10264" max="10508" width="9.140625" style="539"/>
    <col min="10509" max="10509" width="34.28515625" style="539" customWidth="1"/>
    <col min="10510" max="10510" width="28.7109375" style="539" customWidth="1"/>
    <col min="10511" max="10516" width="10.28515625" style="539" customWidth="1"/>
    <col min="10517" max="10517" width="11.7109375" style="539" customWidth="1"/>
    <col min="10518" max="10518" width="25" style="539" customWidth="1"/>
    <col min="10519" max="10519" width="12.28515625" style="539" customWidth="1"/>
    <col min="10520" max="10764" width="9.140625" style="539"/>
    <col min="10765" max="10765" width="34.28515625" style="539" customWidth="1"/>
    <col min="10766" max="10766" width="28.7109375" style="539" customWidth="1"/>
    <col min="10767" max="10772" width="10.28515625" style="539" customWidth="1"/>
    <col min="10773" max="10773" width="11.7109375" style="539" customWidth="1"/>
    <col min="10774" max="10774" width="25" style="539" customWidth="1"/>
    <col min="10775" max="10775" width="12.28515625" style="539" customWidth="1"/>
    <col min="10776" max="11020" width="9.140625" style="539"/>
    <col min="11021" max="11021" width="34.28515625" style="539" customWidth="1"/>
    <col min="11022" max="11022" width="28.7109375" style="539" customWidth="1"/>
    <col min="11023" max="11028" width="10.28515625" style="539" customWidth="1"/>
    <col min="11029" max="11029" width="11.7109375" style="539" customWidth="1"/>
    <col min="11030" max="11030" width="25" style="539" customWidth="1"/>
    <col min="11031" max="11031" width="12.28515625" style="539" customWidth="1"/>
    <col min="11032" max="11276" width="9.140625" style="539"/>
    <col min="11277" max="11277" width="34.28515625" style="539" customWidth="1"/>
    <col min="11278" max="11278" width="28.7109375" style="539" customWidth="1"/>
    <col min="11279" max="11284" width="10.28515625" style="539" customWidth="1"/>
    <col min="11285" max="11285" width="11.7109375" style="539" customWidth="1"/>
    <col min="11286" max="11286" width="25" style="539" customWidth="1"/>
    <col min="11287" max="11287" width="12.28515625" style="539" customWidth="1"/>
    <col min="11288" max="11532" width="9.140625" style="539"/>
    <col min="11533" max="11533" width="34.28515625" style="539" customWidth="1"/>
    <col min="11534" max="11534" width="28.7109375" style="539" customWidth="1"/>
    <col min="11535" max="11540" width="10.28515625" style="539" customWidth="1"/>
    <col min="11541" max="11541" width="11.7109375" style="539" customWidth="1"/>
    <col min="11542" max="11542" width="25" style="539" customWidth="1"/>
    <col min="11543" max="11543" width="12.28515625" style="539" customWidth="1"/>
    <col min="11544" max="11788" width="9.140625" style="539"/>
    <col min="11789" max="11789" width="34.28515625" style="539" customWidth="1"/>
    <col min="11790" max="11790" width="28.7109375" style="539" customWidth="1"/>
    <col min="11791" max="11796" width="10.28515625" style="539" customWidth="1"/>
    <col min="11797" max="11797" width="11.7109375" style="539" customWidth="1"/>
    <col min="11798" max="11798" width="25" style="539" customWidth="1"/>
    <col min="11799" max="11799" width="12.28515625" style="539" customWidth="1"/>
    <col min="11800" max="12044" width="9.140625" style="539"/>
    <col min="12045" max="12045" width="34.28515625" style="539" customWidth="1"/>
    <col min="12046" max="12046" width="28.7109375" style="539" customWidth="1"/>
    <col min="12047" max="12052" width="10.28515625" style="539" customWidth="1"/>
    <col min="12053" max="12053" width="11.7109375" style="539" customWidth="1"/>
    <col min="12054" max="12054" width="25" style="539" customWidth="1"/>
    <col min="12055" max="12055" width="12.28515625" style="539" customWidth="1"/>
    <col min="12056" max="12300" width="9.140625" style="539"/>
    <col min="12301" max="12301" width="34.28515625" style="539" customWidth="1"/>
    <col min="12302" max="12302" width="28.7109375" style="539" customWidth="1"/>
    <col min="12303" max="12308" width="10.28515625" style="539" customWidth="1"/>
    <col min="12309" max="12309" width="11.7109375" style="539" customWidth="1"/>
    <col min="12310" max="12310" width="25" style="539" customWidth="1"/>
    <col min="12311" max="12311" width="12.28515625" style="539" customWidth="1"/>
    <col min="12312" max="12556" width="9.140625" style="539"/>
    <col min="12557" max="12557" width="34.28515625" style="539" customWidth="1"/>
    <col min="12558" max="12558" width="28.7109375" style="539" customWidth="1"/>
    <col min="12559" max="12564" width="10.28515625" style="539" customWidth="1"/>
    <col min="12565" max="12565" width="11.7109375" style="539" customWidth="1"/>
    <col min="12566" max="12566" width="25" style="539" customWidth="1"/>
    <col min="12567" max="12567" width="12.28515625" style="539" customWidth="1"/>
    <col min="12568" max="12812" width="9.140625" style="539"/>
    <col min="12813" max="12813" width="34.28515625" style="539" customWidth="1"/>
    <col min="12814" max="12814" width="28.7109375" style="539" customWidth="1"/>
    <col min="12815" max="12820" width="10.28515625" style="539" customWidth="1"/>
    <col min="12821" max="12821" width="11.7109375" style="539" customWidth="1"/>
    <col min="12822" max="12822" width="25" style="539" customWidth="1"/>
    <col min="12823" max="12823" width="12.28515625" style="539" customWidth="1"/>
    <col min="12824" max="13068" width="9.140625" style="539"/>
    <col min="13069" max="13069" width="34.28515625" style="539" customWidth="1"/>
    <col min="13070" max="13070" width="28.7109375" style="539" customWidth="1"/>
    <col min="13071" max="13076" width="10.28515625" style="539" customWidth="1"/>
    <col min="13077" max="13077" width="11.7109375" style="539" customWidth="1"/>
    <col min="13078" max="13078" width="25" style="539" customWidth="1"/>
    <col min="13079" max="13079" width="12.28515625" style="539" customWidth="1"/>
    <col min="13080" max="13324" width="9.140625" style="539"/>
    <col min="13325" max="13325" width="34.28515625" style="539" customWidth="1"/>
    <col min="13326" max="13326" width="28.7109375" style="539" customWidth="1"/>
    <col min="13327" max="13332" width="10.28515625" style="539" customWidth="1"/>
    <col min="13333" max="13333" width="11.7109375" style="539" customWidth="1"/>
    <col min="13334" max="13334" width="25" style="539" customWidth="1"/>
    <col min="13335" max="13335" width="12.28515625" style="539" customWidth="1"/>
    <col min="13336" max="13580" width="9.140625" style="539"/>
    <col min="13581" max="13581" width="34.28515625" style="539" customWidth="1"/>
    <col min="13582" max="13582" width="28.7109375" style="539" customWidth="1"/>
    <col min="13583" max="13588" width="10.28515625" style="539" customWidth="1"/>
    <col min="13589" max="13589" width="11.7109375" style="539" customWidth="1"/>
    <col min="13590" max="13590" width="25" style="539" customWidth="1"/>
    <col min="13591" max="13591" width="12.28515625" style="539" customWidth="1"/>
    <col min="13592" max="13836" width="9.140625" style="539"/>
    <col min="13837" max="13837" width="34.28515625" style="539" customWidth="1"/>
    <col min="13838" max="13838" width="28.7109375" style="539" customWidth="1"/>
    <col min="13839" max="13844" width="10.28515625" style="539" customWidth="1"/>
    <col min="13845" max="13845" width="11.7109375" style="539" customWidth="1"/>
    <col min="13846" max="13846" width="25" style="539" customWidth="1"/>
    <col min="13847" max="13847" width="12.28515625" style="539" customWidth="1"/>
    <col min="13848" max="14092" width="9.140625" style="539"/>
    <col min="14093" max="14093" width="34.28515625" style="539" customWidth="1"/>
    <col min="14094" max="14094" width="28.7109375" style="539" customWidth="1"/>
    <col min="14095" max="14100" width="10.28515625" style="539" customWidth="1"/>
    <col min="14101" max="14101" width="11.7109375" style="539" customWidth="1"/>
    <col min="14102" max="14102" width="25" style="539" customWidth="1"/>
    <col min="14103" max="14103" width="12.28515625" style="539" customWidth="1"/>
    <col min="14104" max="14348" width="9.140625" style="539"/>
    <col min="14349" max="14349" width="34.28515625" style="539" customWidth="1"/>
    <col min="14350" max="14350" width="28.7109375" style="539" customWidth="1"/>
    <col min="14351" max="14356" width="10.28515625" style="539" customWidth="1"/>
    <col min="14357" max="14357" width="11.7109375" style="539" customWidth="1"/>
    <col min="14358" max="14358" width="25" style="539" customWidth="1"/>
    <col min="14359" max="14359" width="12.28515625" style="539" customWidth="1"/>
    <col min="14360" max="14604" width="9.140625" style="539"/>
    <col min="14605" max="14605" width="34.28515625" style="539" customWidth="1"/>
    <col min="14606" max="14606" width="28.7109375" style="539" customWidth="1"/>
    <col min="14607" max="14612" width="10.28515625" style="539" customWidth="1"/>
    <col min="14613" max="14613" width="11.7109375" style="539" customWidth="1"/>
    <col min="14614" max="14614" width="25" style="539" customWidth="1"/>
    <col min="14615" max="14615" width="12.28515625" style="539" customWidth="1"/>
    <col min="14616" max="14860" width="9.140625" style="539"/>
    <col min="14861" max="14861" width="34.28515625" style="539" customWidth="1"/>
    <col min="14862" max="14862" width="28.7109375" style="539" customWidth="1"/>
    <col min="14863" max="14868" width="10.28515625" style="539" customWidth="1"/>
    <col min="14869" max="14869" width="11.7109375" style="539" customWidth="1"/>
    <col min="14870" max="14870" width="25" style="539" customWidth="1"/>
    <col min="14871" max="14871" width="12.28515625" style="539" customWidth="1"/>
    <col min="14872" max="15116" width="9.140625" style="539"/>
    <col min="15117" max="15117" width="34.28515625" style="539" customWidth="1"/>
    <col min="15118" max="15118" width="28.7109375" style="539" customWidth="1"/>
    <col min="15119" max="15124" width="10.28515625" style="539" customWidth="1"/>
    <col min="15125" max="15125" width="11.7109375" style="539" customWidth="1"/>
    <col min="15126" max="15126" width="25" style="539" customWidth="1"/>
    <col min="15127" max="15127" width="12.28515625" style="539" customWidth="1"/>
    <col min="15128" max="15372" width="9.140625" style="539"/>
    <col min="15373" max="15373" width="34.28515625" style="539" customWidth="1"/>
    <col min="15374" max="15374" width="28.7109375" style="539" customWidth="1"/>
    <col min="15375" max="15380" width="10.28515625" style="539" customWidth="1"/>
    <col min="15381" max="15381" width="11.7109375" style="539" customWidth="1"/>
    <col min="15382" max="15382" width="25" style="539" customWidth="1"/>
    <col min="15383" max="15383" width="12.28515625" style="539" customWidth="1"/>
    <col min="15384" max="15628" width="9.140625" style="539"/>
    <col min="15629" max="15629" width="34.28515625" style="539" customWidth="1"/>
    <col min="15630" max="15630" width="28.7109375" style="539" customWidth="1"/>
    <col min="15631" max="15636" width="10.28515625" style="539" customWidth="1"/>
    <col min="15637" max="15637" width="11.7109375" style="539" customWidth="1"/>
    <col min="15638" max="15638" width="25" style="539" customWidth="1"/>
    <col min="15639" max="15639" width="12.28515625" style="539" customWidth="1"/>
    <col min="15640" max="15884" width="9.140625" style="539"/>
    <col min="15885" max="15885" width="34.28515625" style="539" customWidth="1"/>
    <col min="15886" max="15886" width="28.7109375" style="539" customWidth="1"/>
    <col min="15887" max="15892" width="10.28515625" style="539" customWidth="1"/>
    <col min="15893" max="15893" width="11.7109375" style="539" customWidth="1"/>
    <col min="15894" max="15894" width="25" style="539" customWidth="1"/>
    <col min="15895" max="15895" width="12.28515625" style="539" customWidth="1"/>
    <col min="15896" max="16140" width="9.140625" style="539"/>
    <col min="16141" max="16141" width="34.28515625" style="539" customWidth="1"/>
    <col min="16142" max="16142" width="28.7109375" style="539" customWidth="1"/>
    <col min="16143" max="16148" width="10.28515625" style="539" customWidth="1"/>
    <col min="16149" max="16149" width="11.7109375" style="539" customWidth="1"/>
    <col min="16150" max="16150" width="25" style="539" customWidth="1"/>
    <col min="16151" max="16151" width="12.28515625" style="539" customWidth="1"/>
    <col min="16152" max="16384" width="9.140625" style="539"/>
  </cols>
  <sheetData>
    <row r="3" spans="2:23" ht="52.5" customHeight="1" x14ac:dyDescent="0.25">
      <c r="B3" s="734" t="s">
        <v>916</v>
      </c>
      <c r="C3" s="735"/>
      <c r="D3" s="736"/>
      <c r="E3" s="736"/>
      <c r="F3" s="736"/>
      <c r="G3" s="736"/>
      <c r="H3" s="736"/>
      <c r="I3" s="736"/>
      <c r="J3" s="736"/>
      <c r="K3" s="736"/>
      <c r="L3" s="736"/>
      <c r="M3" s="736"/>
      <c r="N3" s="736"/>
      <c r="O3" s="736"/>
      <c r="P3"/>
      <c r="Q3"/>
      <c r="R3"/>
      <c r="S3"/>
      <c r="T3"/>
      <c r="U3"/>
    </row>
    <row r="4" spans="2:23" ht="15" thickBot="1" x14ac:dyDescent="0.25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/>
      <c r="Q4"/>
      <c r="R4"/>
      <c r="S4"/>
      <c r="T4"/>
      <c r="U4"/>
    </row>
    <row r="5" spans="2:23" ht="24" customHeight="1" x14ac:dyDescent="0.2">
      <c r="B5" s="737" t="s">
        <v>917</v>
      </c>
      <c r="C5" s="738"/>
      <c r="D5" s="739"/>
      <c r="E5" s="739"/>
      <c r="F5" s="739"/>
      <c r="G5" s="739"/>
      <c r="H5" s="739"/>
      <c r="I5" s="739"/>
      <c r="J5" s="739"/>
      <c r="K5" s="739"/>
      <c r="L5" s="739"/>
      <c r="M5" s="739"/>
      <c r="N5" s="739"/>
      <c r="O5" s="739"/>
      <c r="P5"/>
      <c r="Q5"/>
      <c r="R5"/>
      <c r="S5"/>
      <c r="T5"/>
      <c r="U5"/>
    </row>
    <row r="6" spans="2:23" ht="15" thickBot="1" x14ac:dyDescent="0.25">
      <c r="B6" s="740"/>
      <c r="C6" s="741"/>
      <c r="D6" s="739"/>
      <c r="E6" s="739"/>
      <c r="F6" s="739"/>
      <c r="G6" s="739"/>
      <c r="H6" s="739"/>
      <c r="I6" s="739"/>
      <c r="J6" s="739"/>
      <c r="K6" s="739"/>
      <c r="L6" s="739"/>
      <c r="M6" s="739"/>
      <c r="N6" s="739"/>
      <c r="O6" s="739"/>
      <c r="P6"/>
      <c r="Q6"/>
      <c r="R6"/>
      <c r="S6"/>
      <c r="T6"/>
      <c r="U6"/>
    </row>
    <row r="7" spans="2:23" ht="32.25" customHeight="1" thickBot="1" x14ac:dyDescent="0.25">
      <c r="B7" s="742" t="s">
        <v>918</v>
      </c>
      <c r="C7" s="743">
        <v>62798.704959999814</v>
      </c>
      <c r="D7" s="739"/>
      <c r="E7" s="739"/>
      <c r="F7" s="739"/>
      <c r="G7" s="739"/>
      <c r="H7" s="739"/>
      <c r="I7" s="739"/>
      <c r="J7" s="739"/>
      <c r="K7" s="739"/>
      <c r="L7" s="739"/>
      <c r="M7" s="739"/>
      <c r="N7" s="739"/>
      <c r="O7" s="739"/>
      <c r="P7"/>
      <c r="Q7"/>
      <c r="R7"/>
      <c r="S7"/>
      <c r="T7"/>
      <c r="U7"/>
      <c r="W7" s="744"/>
    </row>
    <row r="8" spans="2:23" ht="30.75" customHeight="1" thickBot="1" x14ac:dyDescent="0.25">
      <c r="B8" s="742" t="s">
        <v>919</v>
      </c>
      <c r="C8" s="743">
        <v>13332.247709999992</v>
      </c>
      <c r="D8" s="739"/>
      <c r="E8" s="739"/>
      <c r="F8" s="739"/>
      <c r="G8" s="739"/>
      <c r="H8" s="739"/>
      <c r="I8" s="739"/>
      <c r="J8" s="739"/>
      <c r="K8" s="739"/>
      <c r="L8" s="739"/>
      <c r="M8" s="739"/>
      <c r="N8" s="739"/>
      <c r="O8" s="739"/>
      <c r="P8" s="745"/>
      <c r="Q8"/>
      <c r="R8"/>
      <c r="S8"/>
      <c r="T8"/>
      <c r="U8"/>
      <c r="V8" s="746"/>
      <c r="W8" s="746"/>
    </row>
    <row r="9" spans="2:23" x14ac:dyDescent="0.2">
      <c r="B9" s="747" t="s">
        <v>920</v>
      </c>
      <c r="C9" s="748"/>
      <c r="D9" s="748"/>
      <c r="E9" s="748"/>
      <c r="F9" s="748"/>
      <c r="G9" s="748"/>
      <c r="H9" s="748"/>
      <c r="I9" s="748"/>
      <c r="J9" s="748"/>
      <c r="K9" s="748"/>
      <c r="L9" s="748"/>
      <c r="M9" s="748"/>
      <c r="N9" s="748"/>
      <c r="O9" s="748"/>
      <c r="P9" s="749"/>
      <c r="Q9"/>
      <c r="R9"/>
      <c r="S9"/>
      <c r="T9"/>
      <c r="U9"/>
      <c r="V9" s="746"/>
      <c r="W9" s="746"/>
    </row>
    <row r="10" spans="2:23" x14ac:dyDescent="0.2">
      <c r="B10" s="748"/>
      <c r="C10" s="748"/>
      <c r="D10" s="748"/>
      <c r="E10" s="748"/>
      <c r="F10" s="748"/>
      <c r="G10" s="748"/>
      <c r="H10" s="748"/>
      <c r="I10" s="748"/>
      <c r="J10" s="748"/>
      <c r="K10" s="748"/>
      <c r="L10" s="748"/>
      <c r="M10" s="748"/>
      <c r="N10" s="748"/>
      <c r="O10" s="748"/>
      <c r="P10" s="749"/>
      <c r="Q10"/>
      <c r="R10"/>
      <c r="S10"/>
      <c r="T10"/>
      <c r="U10"/>
      <c r="V10" s="746"/>
      <c r="W10" s="746"/>
    </row>
    <row r="11" spans="2:23" ht="15" thickBot="1" x14ac:dyDescent="0.25">
      <c r="B11" s="748"/>
      <c r="C11" s="748"/>
      <c r="D11" s="748"/>
      <c r="E11" s="748"/>
      <c r="F11" s="748"/>
      <c r="G11" s="748"/>
      <c r="H11" s="748"/>
      <c r="I11" s="748"/>
      <c r="J11" s="748"/>
      <c r="K11" s="748"/>
      <c r="L11" s="748"/>
      <c r="M11" s="748"/>
      <c r="N11" s="748"/>
      <c r="O11" s="748"/>
      <c r="P11"/>
      <c r="Q11"/>
      <c r="R11"/>
      <c r="S11"/>
      <c r="T11"/>
      <c r="U11"/>
      <c r="V11" s="746"/>
      <c r="W11" s="746"/>
    </row>
    <row r="12" spans="2:23" ht="33" customHeight="1" thickBot="1" x14ac:dyDescent="0.25">
      <c r="B12" s="750" t="s">
        <v>921</v>
      </c>
      <c r="C12" s="751"/>
      <c r="D12" s="750" t="s">
        <v>922</v>
      </c>
      <c r="E12" s="752"/>
      <c r="F12" s="752"/>
      <c r="G12" s="752"/>
      <c r="H12" s="752"/>
      <c r="I12" s="752"/>
      <c r="J12" s="752"/>
      <c r="K12" s="752"/>
      <c r="L12" s="752"/>
      <c r="M12" s="752"/>
      <c r="N12" s="752"/>
      <c r="O12" s="751"/>
      <c r="P12" s="753" t="s">
        <v>923</v>
      </c>
      <c r="Q12"/>
      <c r="R12"/>
      <c r="S12"/>
      <c r="T12"/>
      <c r="U12"/>
    </row>
    <row r="13" spans="2:23" ht="22.5" customHeight="1" thickBot="1" x14ac:dyDescent="0.25">
      <c r="B13" s="754"/>
      <c r="C13" s="755"/>
      <c r="D13" s="756" t="s">
        <v>924</v>
      </c>
      <c r="E13" s="756" t="s">
        <v>925</v>
      </c>
      <c r="F13" s="756" t="s">
        <v>926</v>
      </c>
      <c r="G13" s="756" t="s">
        <v>927</v>
      </c>
      <c r="H13" s="756" t="s">
        <v>928</v>
      </c>
      <c r="I13" s="756" t="s">
        <v>929</v>
      </c>
      <c r="J13" s="756" t="s">
        <v>930</v>
      </c>
      <c r="K13" s="756" t="s">
        <v>931</v>
      </c>
      <c r="L13" s="756" t="s">
        <v>932</v>
      </c>
      <c r="M13" s="756" t="s">
        <v>933</v>
      </c>
      <c r="N13" s="756" t="s">
        <v>934</v>
      </c>
      <c r="O13" s="756" t="s">
        <v>935</v>
      </c>
      <c r="P13" s="757"/>
      <c r="Q13"/>
      <c r="R13"/>
      <c r="S13"/>
      <c r="T13"/>
      <c r="U13"/>
    </row>
    <row r="14" spans="2:23" ht="15" thickBot="1" x14ac:dyDescent="0.25">
      <c r="B14" s="753" t="s">
        <v>936</v>
      </c>
      <c r="C14" s="758" t="s">
        <v>937</v>
      </c>
      <c r="D14" s="759">
        <v>7174</v>
      </c>
      <c r="E14" s="759">
        <v>8062</v>
      </c>
      <c r="F14" s="759">
        <v>8555</v>
      </c>
      <c r="G14" s="759">
        <v>10650</v>
      </c>
      <c r="H14" s="759">
        <v>10520</v>
      </c>
      <c r="I14" s="759">
        <v>10459</v>
      </c>
      <c r="J14" s="759">
        <v>17410</v>
      </c>
      <c r="K14" s="759">
        <v>22418</v>
      </c>
      <c r="L14" s="759">
        <v>17067</v>
      </c>
      <c r="M14" s="759">
        <v>16885</v>
      </c>
      <c r="N14" s="759">
        <v>12649</v>
      </c>
      <c r="O14" s="759">
        <v>11774</v>
      </c>
      <c r="P14" s="759">
        <f>SUM(D14:O14)</f>
        <v>153623</v>
      </c>
      <c r="Q14" s="175"/>
      <c r="R14"/>
      <c r="S14"/>
      <c r="T14"/>
      <c r="U14"/>
    </row>
    <row r="15" spans="2:23" ht="15" thickBot="1" x14ac:dyDescent="0.25">
      <c r="B15" s="757"/>
      <c r="C15" s="758" t="s">
        <v>938</v>
      </c>
      <c r="D15" s="759">
        <v>3786.3718800000065</v>
      </c>
      <c r="E15" s="759">
        <v>4619.7220399999997</v>
      </c>
      <c r="F15" s="759">
        <v>4649.4379499999995</v>
      </c>
      <c r="G15" s="759">
        <v>4907.7126600001502</v>
      </c>
      <c r="H15" s="759">
        <v>4898.6114900000748</v>
      </c>
      <c r="I15" s="759">
        <v>3663.13535000001</v>
      </c>
      <c r="J15" s="759">
        <v>5238.6492900000003</v>
      </c>
      <c r="K15" s="759">
        <v>7163.7397699999892</v>
      </c>
      <c r="L15" s="759">
        <v>6354.932500000039</v>
      </c>
      <c r="M15" s="759">
        <v>8022.8488499995128</v>
      </c>
      <c r="N15" s="759">
        <v>4740.4023300000099</v>
      </c>
      <c r="O15" s="759">
        <v>4753.1408500000098</v>
      </c>
      <c r="P15" s="759">
        <f t="shared" ref="P15:P16" si="0">SUM(D15:O15)</f>
        <v>62798.704959999814</v>
      </c>
      <c r="Q15"/>
      <c r="R15"/>
      <c r="S15"/>
      <c r="T15"/>
      <c r="U15"/>
    </row>
    <row r="16" spans="2:23" ht="15" thickBot="1" x14ac:dyDescent="0.25">
      <c r="B16" s="760" t="s">
        <v>939</v>
      </c>
      <c r="C16" s="758" t="s">
        <v>938</v>
      </c>
      <c r="D16" s="759">
        <v>497.20884000000001</v>
      </c>
      <c r="E16" s="759">
        <v>732.49488000000019</v>
      </c>
      <c r="F16" s="759">
        <v>883.20291000000009</v>
      </c>
      <c r="G16" s="759">
        <v>1242.0584600000009</v>
      </c>
      <c r="H16" s="759">
        <v>1047.1956000000005</v>
      </c>
      <c r="I16" s="759">
        <v>823.23264000000017</v>
      </c>
      <c r="J16" s="759">
        <v>1318.3738899999998</v>
      </c>
      <c r="K16" s="759">
        <v>1338.1210099999994</v>
      </c>
      <c r="L16" s="759">
        <v>1299.0162399999995</v>
      </c>
      <c r="M16" s="759">
        <v>1875.6672899999965</v>
      </c>
      <c r="N16" s="759">
        <v>1009.450589999999</v>
      </c>
      <c r="O16" s="759">
        <v>409.10682999999983</v>
      </c>
      <c r="P16" s="759">
        <f t="shared" si="0"/>
        <v>12475.129179999996</v>
      </c>
      <c r="Q16" s="175"/>
      <c r="R16" s="175"/>
      <c r="S16"/>
      <c r="T16"/>
      <c r="U16"/>
    </row>
    <row r="17" spans="2:21" x14ac:dyDescent="0.2">
      <c r="B17" s="747" t="s">
        <v>940</v>
      </c>
      <c r="C17" s="95"/>
      <c r="D17" s="637"/>
      <c r="E17" s="637"/>
      <c r="F17" s="637"/>
      <c r="G17" s="637"/>
      <c r="H17" s="637"/>
      <c r="I17" s="637"/>
      <c r="J17" s="637"/>
      <c r="K17" s="637"/>
      <c r="L17" s="637"/>
      <c r="M17" s="637"/>
      <c r="N17" s="637"/>
      <c r="O17" s="637"/>
      <c r="P17"/>
      <c r="Q17"/>
      <c r="R17"/>
      <c r="S17"/>
      <c r="T17"/>
      <c r="U17"/>
    </row>
    <row r="18" spans="2:21" x14ac:dyDescent="0.2">
      <c r="B18" s="628"/>
      <c r="C18" s="628"/>
      <c r="D18" s="761"/>
      <c r="E18" s="761"/>
      <c r="F18" s="761"/>
      <c r="G18" s="761"/>
      <c r="H18" s="761"/>
      <c r="I18" s="761"/>
      <c r="J18" s="761"/>
      <c r="K18" s="761"/>
      <c r="L18" s="761"/>
      <c r="M18" s="761"/>
      <c r="N18" s="761"/>
      <c r="O18" s="761"/>
      <c r="P18" s="761"/>
      <c r="Q18" s="761"/>
      <c r="R18" s="761"/>
      <c r="S18" s="761"/>
      <c r="T18" s="761"/>
    </row>
    <row r="19" spans="2:21" x14ac:dyDescent="0.2">
      <c r="C19" s="762"/>
      <c r="D19" s="761"/>
      <c r="E19" s="761"/>
      <c r="F19" s="761"/>
      <c r="G19" s="761"/>
      <c r="H19" s="761"/>
      <c r="I19" s="761"/>
      <c r="J19" s="761"/>
      <c r="K19" s="761"/>
      <c r="L19" s="761"/>
      <c r="M19" s="761"/>
      <c r="N19" s="761"/>
      <c r="O19" s="761"/>
      <c r="P19" s="761"/>
      <c r="Q19" s="761"/>
      <c r="R19" s="761"/>
      <c r="S19" s="761"/>
      <c r="T19" s="761"/>
    </row>
    <row r="20" spans="2:21" x14ac:dyDescent="0.2">
      <c r="D20" s="761"/>
      <c r="E20" s="761"/>
      <c r="F20" s="761"/>
      <c r="G20" s="761"/>
      <c r="H20" s="761"/>
      <c r="I20" s="761"/>
      <c r="J20" s="761"/>
      <c r="K20" s="761"/>
      <c r="L20" s="761"/>
      <c r="M20" s="761"/>
      <c r="N20" s="761"/>
      <c r="O20" s="761"/>
      <c r="P20" s="761"/>
      <c r="Q20" s="761"/>
      <c r="R20" s="761"/>
      <c r="S20" s="761"/>
      <c r="T20" s="761"/>
    </row>
    <row r="28" spans="2:21" x14ac:dyDescent="0.2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2:21" x14ac:dyDescent="0.2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2:21" x14ac:dyDescent="0.2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2:21" x14ac:dyDescent="0.2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2:21" x14ac:dyDescent="0.2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6" spans="8:15" x14ac:dyDescent="0.2">
      <c r="H36"/>
      <c r="I36"/>
      <c r="J36"/>
      <c r="K36"/>
      <c r="L36"/>
      <c r="M36"/>
      <c r="N36"/>
      <c r="O36"/>
    </row>
    <row r="37" spans="8:15" x14ac:dyDescent="0.2">
      <c r="H37"/>
      <c r="I37"/>
      <c r="J37"/>
      <c r="K37"/>
      <c r="L37"/>
      <c r="M37"/>
      <c r="N37"/>
      <c r="O37"/>
    </row>
  </sheetData>
  <mergeCells count="6">
    <mergeCell ref="B3:C3"/>
    <mergeCell ref="B5:C6"/>
    <mergeCell ref="B12:C13"/>
    <mergeCell ref="D12:O12"/>
    <mergeCell ref="P12:P13"/>
    <mergeCell ref="B14:B1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2FED"/>
    <pageSetUpPr fitToPage="1"/>
  </sheetPr>
  <dimension ref="A1:D18"/>
  <sheetViews>
    <sheetView zoomScale="80" zoomScaleNormal="80" workbookViewId="0">
      <selection activeCell="C22" sqref="C22:H22"/>
    </sheetView>
  </sheetViews>
  <sheetFormatPr defaultRowHeight="12.75" x14ac:dyDescent="0.2"/>
  <cols>
    <col min="1" max="1" width="19.140625" style="499" customWidth="1"/>
    <col min="2" max="2" width="17.85546875" style="499" customWidth="1"/>
    <col min="3" max="3" width="21.5703125" style="499" customWidth="1"/>
    <col min="4" max="4" width="17.85546875" style="499" customWidth="1"/>
    <col min="5" max="256" width="9.140625" style="499"/>
    <col min="257" max="257" width="19.140625" style="499" customWidth="1"/>
    <col min="258" max="260" width="17.85546875" style="499" customWidth="1"/>
    <col min="261" max="512" width="9.140625" style="499"/>
    <col min="513" max="513" width="19.140625" style="499" customWidth="1"/>
    <col min="514" max="516" width="17.85546875" style="499" customWidth="1"/>
    <col min="517" max="768" width="9.140625" style="499"/>
    <col min="769" max="769" width="19.140625" style="499" customWidth="1"/>
    <col min="770" max="772" width="17.85546875" style="499" customWidth="1"/>
    <col min="773" max="1024" width="9.140625" style="499"/>
    <col min="1025" max="1025" width="19.140625" style="499" customWidth="1"/>
    <col min="1026" max="1028" width="17.85546875" style="499" customWidth="1"/>
    <col min="1029" max="1280" width="9.140625" style="499"/>
    <col min="1281" max="1281" width="19.140625" style="499" customWidth="1"/>
    <col min="1282" max="1284" width="17.85546875" style="499" customWidth="1"/>
    <col min="1285" max="1536" width="9.140625" style="499"/>
    <col min="1537" max="1537" width="19.140625" style="499" customWidth="1"/>
    <col min="1538" max="1540" width="17.85546875" style="499" customWidth="1"/>
    <col min="1541" max="1792" width="9.140625" style="499"/>
    <col min="1793" max="1793" width="19.140625" style="499" customWidth="1"/>
    <col min="1794" max="1796" width="17.85546875" style="499" customWidth="1"/>
    <col min="1797" max="2048" width="9.140625" style="499"/>
    <col min="2049" max="2049" width="19.140625" style="499" customWidth="1"/>
    <col min="2050" max="2052" width="17.85546875" style="499" customWidth="1"/>
    <col min="2053" max="2304" width="9.140625" style="499"/>
    <col min="2305" max="2305" width="19.140625" style="499" customWidth="1"/>
    <col min="2306" max="2308" width="17.85546875" style="499" customWidth="1"/>
    <col min="2309" max="2560" width="9.140625" style="499"/>
    <col min="2561" max="2561" width="19.140625" style="499" customWidth="1"/>
    <col min="2562" max="2564" width="17.85546875" style="499" customWidth="1"/>
    <col min="2565" max="2816" width="9.140625" style="499"/>
    <col min="2817" max="2817" width="19.140625" style="499" customWidth="1"/>
    <col min="2818" max="2820" width="17.85546875" style="499" customWidth="1"/>
    <col min="2821" max="3072" width="9.140625" style="499"/>
    <col min="3073" max="3073" width="19.140625" style="499" customWidth="1"/>
    <col min="3074" max="3076" width="17.85546875" style="499" customWidth="1"/>
    <col min="3077" max="3328" width="9.140625" style="499"/>
    <col min="3329" max="3329" width="19.140625" style="499" customWidth="1"/>
    <col min="3330" max="3332" width="17.85546875" style="499" customWidth="1"/>
    <col min="3333" max="3584" width="9.140625" style="499"/>
    <col min="3585" max="3585" width="19.140625" style="499" customWidth="1"/>
    <col min="3586" max="3588" width="17.85546875" style="499" customWidth="1"/>
    <col min="3589" max="3840" width="9.140625" style="499"/>
    <col min="3841" max="3841" width="19.140625" style="499" customWidth="1"/>
    <col min="3842" max="3844" width="17.85546875" style="499" customWidth="1"/>
    <col min="3845" max="4096" width="9.140625" style="499"/>
    <col min="4097" max="4097" width="19.140625" style="499" customWidth="1"/>
    <col min="4098" max="4100" width="17.85546875" style="499" customWidth="1"/>
    <col min="4101" max="4352" width="9.140625" style="499"/>
    <col min="4353" max="4353" width="19.140625" style="499" customWidth="1"/>
    <col min="4354" max="4356" width="17.85546875" style="499" customWidth="1"/>
    <col min="4357" max="4608" width="9.140625" style="499"/>
    <col min="4609" max="4609" width="19.140625" style="499" customWidth="1"/>
    <col min="4610" max="4612" width="17.85546875" style="499" customWidth="1"/>
    <col min="4613" max="4864" width="9.140625" style="499"/>
    <col min="4865" max="4865" width="19.140625" style="499" customWidth="1"/>
    <col min="4866" max="4868" width="17.85546875" style="499" customWidth="1"/>
    <col min="4869" max="5120" width="9.140625" style="499"/>
    <col min="5121" max="5121" width="19.140625" style="499" customWidth="1"/>
    <col min="5122" max="5124" width="17.85546875" style="499" customWidth="1"/>
    <col min="5125" max="5376" width="9.140625" style="499"/>
    <col min="5377" max="5377" width="19.140625" style="499" customWidth="1"/>
    <col min="5378" max="5380" width="17.85546875" style="499" customWidth="1"/>
    <col min="5381" max="5632" width="9.140625" style="499"/>
    <col min="5633" max="5633" width="19.140625" style="499" customWidth="1"/>
    <col min="5634" max="5636" width="17.85546875" style="499" customWidth="1"/>
    <col min="5637" max="5888" width="9.140625" style="499"/>
    <col min="5889" max="5889" width="19.140625" style="499" customWidth="1"/>
    <col min="5890" max="5892" width="17.85546875" style="499" customWidth="1"/>
    <col min="5893" max="6144" width="9.140625" style="499"/>
    <col min="6145" max="6145" width="19.140625" style="499" customWidth="1"/>
    <col min="6146" max="6148" width="17.85546875" style="499" customWidth="1"/>
    <col min="6149" max="6400" width="9.140625" style="499"/>
    <col min="6401" max="6401" width="19.140625" style="499" customWidth="1"/>
    <col min="6402" max="6404" width="17.85546875" style="499" customWidth="1"/>
    <col min="6405" max="6656" width="9.140625" style="499"/>
    <col min="6657" max="6657" width="19.140625" style="499" customWidth="1"/>
    <col min="6658" max="6660" width="17.85546875" style="499" customWidth="1"/>
    <col min="6661" max="6912" width="9.140625" style="499"/>
    <col min="6913" max="6913" width="19.140625" style="499" customWidth="1"/>
    <col min="6914" max="6916" width="17.85546875" style="499" customWidth="1"/>
    <col min="6917" max="7168" width="9.140625" style="499"/>
    <col min="7169" max="7169" width="19.140625" style="499" customWidth="1"/>
    <col min="7170" max="7172" width="17.85546875" style="499" customWidth="1"/>
    <col min="7173" max="7424" width="9.140625" style="499"/>
    <col min="7425" max="7425" width="19.140625" style="499" customWidth="1"/>
    <col min="7426" max="7428" width="17.85546875" style="499" customWidth="1"/>
    <col min="7429" max="7680" width="9.140625" style="499"/>
    <col min="7681" max="7681" width="19.140625" style="499" customWidth="1"/>
    <col min="7682" max="7684" width="17.85546875" style="499" customWidth="1"/>
    <col min="7685" max="7936" width="9.140625" style="499"/>
    <col min="7937" max="7937" width="19.140625" style="499" customWidth="1"/>
    <col min="7938" max="7940" width="17.85546875" style="499" customWidth="1"/>
    <col min="7941" max="8192" width="9.140625" style="499"/>
    <col min="8193" max="8193" width="19.140625" style="499" customWidth="1"/>
    <col min="8194" max="8196" width="17.85546875" style="499" customWidth="1"/>
    <col min="8197" max="8448" width="9.140625" style="499"/>
    <col min="8449" max="8449" width="19.140625" style="499" customWidth="1"/>
    <col min="8450" max="8452" width="17.85546875" style="499" customWidth="1"/>
    <col min="8453" max="8704" width="9.140625" style="499"/>
    <col min="8705" max="8705" width="19.140625" style="499" customWidth="1"/>
    <col min="8706" max="8708" width="17.85546875" style="499" customWidth="1"/>
    <col min="8709" max="8960" width="9.140625" style="499"/>
    <col min="8961" max="8961" width="19.140625" style="499" customWidth="1"/>
    <col min="8962" max="8964" width="17.85546875" style="499" customWidth="1"/>
    <col min="8965" max="9216" width="9.140625" style="499"/>
    <col min="9217" max="9217" width="19.140625" style="499" customWidth="1"/>
    <col min="9218" max="9220" width="17.85546875" style="499" customWidth="1"/>
    <col min="9221" max="9472" width="9.140625" style="499"/>
    <col min="9473" max="9473" width="19.140625" style="499" customWidth="1"/>
    <col min="9474" max="9476" width="17.85546875" style="499" customWidth="1"/>
    <col min="9477" max="9728" width="9.140625" style="499"/>
    <col min="9729" max="9729" width="19.140625" style="499" customWidth="1"/>
    <col min="9730" max="9732" width="17.85546875" style="499" customWidth="1"/>
    <col min="9733" max="9984" width="9.140625" style="499"/>
    <col min="9985" max="9985" width="19.140625" style="499" customWidth="1"/>
    <col min="9986" max="9988" width="17.85546875" style="499" customWidth="1"/>
    <col min="9989" max="10240" width="9.140625" style="499"/>
    <col min="10241" max="10241" width="19.140625" style="499" customWidth="1"/>
    <col min="10242" max="10244" width="17.85546875" style="499" customWidth="1"/>
    <col min="10245" max="10496" width="9.140625" style="499"/>
    <col min="10497" max="10497" width="19.140625" style="499" customWidth="1"/>
    <col min="10498" max="10500" width="17.85546875" style="499" customWidth="1"/>
    <col min="10501" max="10752" width="9.140625" style="499"/>
    <col min="10753" max="10753" width="19.140625" style="499" customWidth="1"/>
    <col min="10754" max="10756" width="17.85546875" style="499" customWidth="1"/>
    <col min="10757" max="11008" width="9.140625" style="499"/>
    <col min="11009" max="11009" width="19.140625" style="499" customWidth="1"/>
    <col min="11010" max="11012" width="17.85546875" style="499" customWidth="1"/>
    <col min="11013" max="11264" width="9.140625" style="499"/>
    <col min="11265" max="11265" width="19.140625" style="499" customWidth="1"/>
    <col min="11266" max="11268" width="17.85546875" style="499" customWidth="1"/>
    <col min="11269" max="11520" width="9.140625" style="499"/>
    <col min="11521" max="11521" width="19.140625" style="499" customWidth="1"/>
    <col min="11522" max="11524" width="17.85546875" style="499" customWidth="1"/>
    <col min="11525" max="11776" width="9.140625" style="499"/>
    <col min="11777" max="11777" width="19.140625" style="499" customWidth="1"/>
    <col min="11778" max="11780" width="17.85546875" style="499" customWidth="1"/>
    <col min="11781" max="12032" width="9.140625" style="499"/>
    <col min="12033" max="12033" width="19.140625" style="499" customWidth="1"/>
    <col min="12034" max="12036" width="17.85546875" style="499" customWidth="1"/>
    <col min="12037" max="12288" width="9.140625" style="499"/>
    <col min="12289" max="12289" width="19.140625" style="499" customWidth="1"/>
    <col min="12290" max="12292" width="17.85546875" style="499" customWidth="1"/>
    <col min="12293" max="12544" width="9.140625" style="499"/>
    <col min="12545" max="12545" width="19.140625" style="499" customWidth="1"/>
    <col min="12546" max="12548" width="17.85546875" style="499" customWidth="1"/>
    <col min="12549" max="12800" width="9.140625" style="499"/>
    <col min="12801" max="12801" width="19.140625" style="499" customWidth="1"/>
    <col min="12802" max="12804" width="17.85546875" style="499" customWidth="1"/>
    <col min="12805" max="13056" width="9.140625" style="499"/>
    <col min="13057" max="13057" width="19.140625" style="499" customWidth="1"/>
    <col min="13058" max="13060" width="17.85546875" style="499" customWidth="1"/>
    <col min="13061" max="13312" width="9.140625" style="499"/>
    <col min="13313" max="13313" width="19.140625" style="499" customWidth="1"/>
    <col min="13314" max="13316" width="17.85546875" style="499" customWidth="1"/>
    <col min="13317" max="13568" width="9.140625" style="499"/>
    <col min="13569" max="13569" width="19.140625" style="499" customWidth="1"/>
    <col min="13570" max="13572" width="17.85546875" style="499" customWidth="1"/>
    <col min="13573" max="13824" width="9.140625" style="499"/>
    <col min="13825" max="13825" width="19.140625" style="499" customWidth="1"/>
    <col min="13826" max="13828" width="17.85546875" style="499" customWidth="1"/>
    <col min="13829" max="14080" width="9.140625" style="499"/>
    <col min="14081" max="14081" width="19.140625" style="499" customWidth="1"/>
    <col min="14082" max="14084" width="17.85546875" style="499" customWidth="1"/>
    <col min="14085" max="14336" width="9.140625" style="499"/>
    <col min="14337" max="14337" width="19.140625" style="499" customWidth="1"/>
    <col min="14338" max="14340" width="17.85546875" style="499" customWidth="1"/>
    <col min="14341" max="14592" width="9.140625" style="499"/>
    <col min="14593" max="14593" width="19.140625" style="499" customWidth="1"/>
    <col min="14594" max="14596" width="17.85546875" style="499" customWidth="1"/>
    <col min="14597" max="14848" width="9.140625" style="499"/>
    <col min="14849" max="14849" width="19.140625" style="499" customWidth="1"/>
    <col min="14850" max="14852" width="17.85546875" style="499" customWidth="1"/>
    <col min="14853" max="15104" width="9.140625" style="499"/>
    <col min="15105" max="15105" width="19.140625" style="499" customWidth="1"/>
    <col min="15106" max="15108" width="17.85546875" style="499" customWidth="1"/>
    <col min="15109" max="15360" width="9.140625" style="499"/>
    <col min="15361" max="15361" width="19.140625" style="499" customWidth="1"/>
    <col min="15362" max="15364" width="17.85546875" style="499" customWidth="1"/>
    <col min="15365" max="15616" width="9.140625" style="499"/>
    <col min="15617" max="15617" width="19.140625" style="499" customWidth="1"/>
    <col min="15618" max="15620" width="17.85546875" style="499" customWidth="1"/>
    <col min="15621" max="15872" width="9.140625" style="499"/>
    <col min="15873" max="15873" width="19.140625" style="499" customWidth="1"/>
    <col min="15874" max="15876" width="17.85546875" style="499" customWidth="1"/>
    <col min="15877" max="16128" width="9.140625" style="499"/>
    <col min="16129" max="16129" width="19.140625" style="499" customWidth="1"/>
    <col min="16130" max="16132" width="17.85546875" style="499" customWidth="1"/>
    <col min="16133" max="16384" width="9.140625" style="499"/>
  </cols>
  <sheetData>
    <row r="1" spans="1:4" x14ac:dyDescent="0.2">
      <c r="D1" s="500"/>
    </row>
    <row r="2" spans="1:4" ht="13.5" thickBot="1" x14ac:dyDescent="0.25">
      <c r="A2" s="763"/>
      <c r="B2" s="763"/>
      <c r="C2" s="763"/>
      <c r="D2" s="763"/>
    </row>
    <row r="3" spans="1:4" ht="25.5" customHeight="1" thickBot="1" x14ac:dyDescent="0.25">
      <c r="A3" s="764" t="s">
        <v>941</v>
      </c>
      <c r="B3" s="764"/>
      <c r="C3" s="764"/>
      <c r="D3" s="764"/>
    </row>
    <row r="4" spans="1:4" ht="78" customHeight="1" thickBot="1" x14ac:dyDescent="0.25">
      <c r="A4" s="765" t="s">
        <v>942</v>
      </c>
      <c r="B4" s="632" t="s">
        <v>943</v>
      </c>
      <c r="C4" s="632" t="s">
        <v>944</v>
      </c>
      <c r="D4" s="632" t="s">
        <v>945</v>
      </c>
    </row>
    <row r="5" spans="1:4" ht="31.5" customHeight="1" thickBot="1" x14ac:dyDescent="0.25">
      <c r="A5" s="766">
        <v>41670</v>
      </c>
      <c r="B5" s="767">
        <v>124</v>
      </c>
      <c r="C5" s="767">
        <v>261.15069999999997</v>
      </c>
      <c r="D5" s="767">
        <v>9.5857500000000027</v>
      </c>
    </row>
    <row r="6" spans="1:4" ht="31.5" customHeight="1" thickBot="1" x14ac:dyDescent="0.25">
      <c r="A6" s="766">
        <v>41698</v>
      </c>
      <c r="B6" s="767">
        <v>292</v>
      </c>
      <c r="C6" s="767">
        <v>879.22669000000008</v>
      </c>
      <c r="D6" s="767">
        <v>66.376720000000006</v>
      </c>
    </row>
    <row r="7" spans="1:4" ht="31.5" customHeight="1" thickBot="1" x14ac:dyDescent="0.25">
      <c r="A7" s="766">
        <v>41729</v>
      </c>
      <c r="B7" s="767">
        <v>489</v>
      </c>
      <c r="C7" s="767">
        <v>1641.51043</v>
      </c>
      <c r="D7" s="767">
        <v>171.79161999999999</v>
      </c>
    </row>
    <row r="8" spans="1:4" ht="31.5" customHeight="1" thickBot="1" x14ac:dyDescent="0.25">
      <c r="A8" s="766">
        <v>41759</v>
      </c>
      <c r="B8" s="767">
        <v>631</v>
      </c>
      <c r="C8" s="767">
        <v>2774.88733</v>
      </c>
      <c r="D8" s="767">
        <v>455.73351000000008</v>
      </c>
    </row>
    <row r="9" spans="1:4" ht="31.5" customHeight="1" thickBot="1" x14ac:dyDescent="0.25">
      <c r="A9" s="766">
        <v>41790</v>
      </c>
      <c r="B9" s="767">
        <v>742</v>
      </c>
      <c r="C9" s="767">
        <v>3149.5309600000001</v>
      </c>
      <c r="D9" s="767">
        <v>703.37351000000001</v>
      </c>
    </row>
    <row r="10" spans="1:4" ht="31.5" customHeight="1" thickBot="1" x14ac:dyDescent="0.25">
      <c r="A10" s="766">
        <v>41820</v>
      </c>
      <c r="B10" s="767">
        <v>831</v>
      </c>
      <c r="C10" s="767">
        <v>3718.18</v>
      </c>
      <c r="D10" s="767">
        <v>951.26500999999996</v>
      </c>
    </row>
    <row r="11" spans="1:4" ht="31.5" customHeight="1" thickBot="1" x14ac:dyDescent="0.25">
      <c r="A11" s="766">
        <v>41851</v>
      </c>
      <c r="B11" s="767">
        <v>939</v>
      </c>
      <c r="C11" s="767">
        <v>4060.1918700000001</v>
      </c>
      <c r="D11" s="767">
        <v>1233.627</v>
      </c>
    </row>
    <row r="12" spans="1:4" ht="36" customHeight="1" thickBot="1" x14ac:dyDescent="0.25">
      <c r="A12" s="766">
        <v>41882</v>
      </c>
      <c r="B12" s="767">
        <v>1022</v>
      </c>
      <c r="C12" s="767">
        <v>4298.2123200000015</v>
      </c>
      <c r="D12" s="767">
        <v>1479</v>
      </c>
    </row>
    <row r="13" spans="1:4" ht="33" customHeight="1" thickBot="1" x14ac:dyDescent="0.25">
      <c r="A13" s="766">
        <v>41912</v>
      </c>
      <c r="B13" s="767">
        <v>1160</v>
      </c>
      <c r="C13" s="767">
        <v>4595.3932900000009</v>
      </c>
      <c r="D13" s="767">
        <v>1697.9727300000002</v>
      </c>
    </row>
    <row r="14" spans="1:4" ht="35.25" customHeight="1" thickBot="1" x14ac:dyDescent="0.25">
      <c r="A14" s="766">
        <v>41943</v>
      </c>
      <c r="B14" s="767">
        <v>1271</v>
      </c>
      <c r="C14" s="767">
        <v>4933.9877799999995</v>
      </c>
      <c r="D14" s="767">
        <v>1884.1126200000001</v>
      </c>
    </row>
    <row r="15" spans="1:4" ht="29.25" customHeight="1" thickBot="1" x14ac:dyDescent="0.25">
      <c r="A15" s="766">
        <v>41973</v>
      </c>
      <c r="B15" s="767">
        <v>1338</v>
      </c>
      <c r="C15" s="767">
        <v>5295.6790499999997</v>
      </c>
      <c r="D15" s="767">
        <v>2128.4296900000004</v>
      </c>
    </row>
    <row r="16" spans="1:4" ht="27.75" customHeight="1" thickBot="1" x14ac:dyDescent="0.25">
      <c r="A16" s="766">
        <v>42004</v>
      </c>
      <c r="B16" s="767">
        <v>1394</v>
      </c>
      <c r="C16" s="767">
        <v>5413.36456</v>
      </c>
      <c r="D16" s="767">
        <v>2406.7312499999998</v>
      </c>
    </row>
    <row r="18" spans="4:4" x14ac:dyDescent="0.2">
      <c r="D18" s="768"/>
    </row>
  </sheetData>
  <mergeCells count="1">
    <mergeCell ref="A3:D3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2FED"/>
    <pageSetUpPr fitToPage="1"/>
  </sheetPr>
  <dimension ref="A1:J42"/>
  <sheetViews>
    <sheetView showGridLines="0" zoomScale="70" zoomScaleNormal="70" workbookViewId="0">
      <selection activeCell="C22" sqref="C22:H22"/>
    </sheetView>
  </sheetViews>
  <sheetFormatPr defaultRowHeight="15" customHeight="1" x14ac:dyDescent="0.2"/>
  <cols>
    <col min="1" max="1" width="16" style="771" customWidth="1"/>
    <col min="2" max="2" width="16.85546875" style="771" customWidth="1"/>
    <col min="3" max="3" width="18.7109375" style="771" customWidth="1"/>
    <col min="4" max="4" width="74" style="771" customWidth="1"/>
    <col min="5" max="5" width="13.7109375" style="771" customWidth="1"/>
    <col min="6" max="6" width="16.85546875" style="771" customWidth="1"/>
    <col min="7" max="7" width="15.85546875" style="771" customWidth="1"/>
    <col min="8" max="8" width="15.5703125" style="771" customWidth="1"/>
    <col min="9" max="9" width="17" style="771" customWidth="1"/>
    <col min="10" max="10" width="15" style="771" customWidth="1"/>
    <col min="11" max="11" width="9.140625" style="771"/>
    <col min="12" max="12" width="12" style="771" customWidth="1"/>
    <col min="13" max="256" width="9.140625" style="771"/>
    <col min="257" max="257" width="16" style="771" customWidth="1"/>
    <col min="258" max="258" width="16.85546875" style="771" customWidth="1"/>
    <col min="259" max="259" width="17.5703125" style="771" bestFit="1" customWidth="1"/>
    <col min="260" max="260" width="60.7109375" style="771" customWidth="1"/>
    <col min="261" max="261" width="10" style="771" bestFit="1" customWidth="1"/>
    <col min="262" max="262" width="16.85546875" style="771" customWidth="1"/>
    <col min="263" max="263" width="15.85546875" style="771" customWidth="1"/>
    <col min="264" max="264" width="15.5703125" style="771" customWidth="1"/>
    <col min="265" max="265" width="13.28515625" style="771" customWidth="1"/>
    <col min="266" max="512" width="9.140625" style="771"/>
    <col min="513" max="513" width="16" style="771" customWidth="1"/>
    <col min="514" max="514" width="16.85546875" style="771" customWidth="1"/>
    <col min="515" max="515" width="17.5703125" style="771" bestFit="1" customWidth="1"/>
    <col min="516" max="516" width="60.7109375" style="771" customWidth="1"/>
    <col min="517" max="517" width="10" style="771" bestFit="1" customWidth="1"/>
    <col min="518" max="518" width="16.85546875" style="771" customWidth="1"/>
    <col min="519" max="519" width="15.85546875" style="771" customWidth="1"/>
    <col min="520" max="520" width="15.5703125" style="771" customWidth="1"/>
    <col min="521" max="521" width="13.28515625" style="771" customWidth="1"/>
    <col min="522" max="768" width="9.140625" style="771"/>
    <col min="769" max="769" width="16" style="771" customWidth="1"/>
    <col min="770" max="770" width="16.85546875" style="771" customWidth="1"/>
    <col min="771" max="771" width="17.5703125" style="771" bestFit="1" customWidth="1"/>
    <col min="772" max="772" width="60.7109375" style="771" customWidth="1"/>
    <col min="773" max="773" width="10" style="771" bestFit="1" customWidth="1"/>
    <col min="774" max="774" width="16.85546875" style="771" customWidth="1"/>
    <col min="775" max="775" width="15.85546875" style="771" customWidth="1"/>
    <col min="776" max="776" width="15.5703125" style="771" customWidth="1"/>
    <col min="777" max="777" width="13.28515625" style="771" customWidth="1"/>
    <col min="778" max="1024" width="9.140625" style="771"/>
    <col min="1025" max="1025" width="16" style="771" customWidth="1"/>
    <col min="1026" max="1026" width="16.85546875" style="771" customWidth="1"/>
    <col min="1027" max="1027" width="17.5703125" style="771" bestFit="1" customWidth="1"/>
    <col min="1028" max="1028" width="60.7109375" style="771" customWidth="1"/>
    <col min="1029" max="1029" width="10" style="771" bestFit="1" customWidth="1"/>
    <col min="1030" max="1030" width="16.85546875" style="771" customWidth="1"/>
    <col min="1031" max="1031" width="15.85546875" style="771" customWidth="1"/>
    <col min="1032" max="1032" width="15.5703125" style="771" customWidth="1"/>
    <col min="1033" max="1033" width="13.28515625" style="771" customWidth="1"/>
    <col min="1034" max="1280" width="9.140625" style="771"/>
    <col min="1281" max="1281" width="16" style="771" customWidth="1"/>
    <col min="1282" max="1282" width="16.85546875" style="771" customWidth="1"/>
    <col min="1283" max="1283" width="17.5703125" style="771" bestFit="1" customWidth="1"/>
    <col min="1284" max="1284" width="60.7109375" style="771" customWidth="1"/>
    <col min="1285" max="1285" width="10" style="771" bestFit="1" customWidth="1"/>
    <col min="1286" max="1286" width="16.85546875" style="771" customWidth="1"/>
    <col min="1287" max="1287" width="15.85546875" style="771" customWidth="1"/>
    <col min="1288" max="1288" width="15.5703125" style="771" customWidth="1"/>
    <col min="1289" max="1289" width="13.28515625" style="771" customWidth="1"/>
    <col min="1290" max="1536" width="9.140625" style="771"/>
    <col min="1537" max="1537" width="16" style="771" customWidth="1"/>
    <col min="1538" max="1538" width="16.85546875" style="771" customWidth="1"/>
    <col min="1539" max="1539" width="17.5703125" style="771" bestFit="1" customWidth="1"/>
    <col min="1540" max="1540" width="60.7109375" style="771" customWidth="1"/>
    <col min="1541" max="1541" width="10" style="771" bestFit="1" customWidth="1"/>
    <col min="1542" max="1542" width="16.85546875" style="771" customWidth="1"/>
    <col min="1543" max="1543" width="15.85546875" style="771" customWidth="1"/>
    <col min="1544" max="1544" width="15.5703125" style="771" customWidth="1"/>
    <col min="1545" max="1545" width="13.28515625" style="771" customWidth="1"/>
    <col min="1546" max="1792" width="9.140625" style="771"/>
    <col min="1793" max="1793" width="16" style="771" customWidth="1"/>
    <col min="1794" max="1794" width="16.85546875" style="771" customWidth="1"/>
    <col min="1795" max="1795" width="17.5703125" style="771" bestFit="1" customWidth="1"/>
    <col min="1796" max="1796" width="60.7109375" style="771" customWidth="1"/>
    <col min="1797" max="1797" width="10" style="771" bestFit="1" customWidth="1"/>
    <col min="1798" max="1798" width="16.85546875" style="771" customWidth="1"/>
    <col min="1799" max="1799" width="15.85546875" style="771" customWidth="1"/>
    <col min="1800" max="1800" width="15.5703125" style="771" customWidth="1"/>
    <col min="1801" max="1801" width="13.28515625" style="771" customWidth="1"/>
    <col min="1802" max="2048" width="9.140625" style="771"/>
    <col min="2049" max="2049" width="16" style="771" customWidth="1"/>
    <col min="2050" max="2050" width="16.85546875" style="771" customWidth="1"/>
    <col min="2051" max="2051" width="17.5703125" style="771" bestFit="1" customWidth="1"/>
    <col min="2052" max="2052" width="60.7109375" style="771" customWidth="1"/>
    <col min="2053" max="2053" width="10" style="771" bestFit="1" customWidth="1"/>
    <col min="2054" max="2054" width="16.85546875" style="771" customWidth="1"/>
    <col min="2055" max="2055" width="15.85546875" style="771" customWidth="1"/>
    <col min="2056" max="2056" width="15.5703125" style="771" customWidth="1"/>
    <col min="2057" max="2057" width="13.28515625" style="771" customWidth="1"/>
    <col min="2058" max="2304" width="9.140625" style="771"/>
    <col min="2305" max="2305" width="16" style="771" customWidth="1"/>
    <col min="2306" max="2306" width="16.85546875" style="771" customWidth="1"/>
    <col min="2307" max="2307" width="17.5703125" style="771" bestFit="1" customWidth="1"/>
    <col min="2308" max="2308" width="60.7109375" style="771" customWidth="1"/>
    <col min="2309" max="2309" width="10" style="771" bestFit="1" customWidth="1"/>
    <col min="2310" max="2310" width="16.85546875" style="771" customWidth="1"/>
    <col min="2311" max="2311" width="15.85546875" style="771" customWidth="1"/>
    <col min="2312" max="2312" width="15.5703125" style="771" customWidth="1"/>
    <col min="2313" max="2313" width="13.28515625" style="771" customWidth="1"/>
    <col min="2314" max="2560" width="9.140625" style="771"/>
    <col min="2561" max="2561" width="16" style="771" customWidth="1"/>
    <col min="2562" max="2562" width="16.85546875" style="771" customWidth="1"/>
    <col min="2563" max="2563" width="17.5703125" style="771" bestFit="1" customWidth="1"/>
    <col min="2564" max="2564" width="60.7109375" style="771" customWidth="1"/>
    <col min="2565" max="2565" width="10" style="771" bestFit="1" customWidth="1"/>
    <col min="2566" max="2566" width="16.85546875" style="771" customWidth="1"/>
    <col min="2567" max="2567" width="15.85546875" style="771" customWidth="1"/>
    <col min="2568" max="2568" width="15.5703125" style="771" customWidth="1"/>
    <col min="2569" max="2569" width="13.28515625" style="771" customWidth="1"/>
    <col min="2570" max="2816" width="9.140625" style="771"/>
    <col min="2817" max="2817" width="16" style="771" customWidth="1"/>
    <col min="2818" max="2818" width="16.85546875" style="771" customWidth="1"/>
    <col min="2819" max="2819" width="17.5703125" style="771" bestFit="1" customWidth="1"/>
    <col min="2820" max="2820" width="60.7109375" style="771" customWidth="1"/>
    <col min="2821" max="2821" width="10" style="771" bestFit="1" customWidth="1"/>
    <col min="2822" max="2822" width="16.85546875" style="771" customWidth="1"/>
    <col min="2823" max="2823" width="15.85546875" style="771" customWidth="1"/>
    <col min="2824" max="2824" width="15.5703125" style="771" customWidth="1"/>
    <col min="2825" max="2825" width="13.28515625" style="771" customWidth="1"/>
    <col min="2826" max="3072" width="9.140625" style="771"/>
    <col min="3073" max="3073" width="16" style="771" customWidth="1"/>
    <col min="3074" max="3074" width="16.85546875" style="771" customWidth="1"/>
    <col min="3075" max="3075" width="17.5703125" style="771" bestFit="1" customWidth="1"/>
    <col min="3076" max="3076" width="60.7109375" style="771" customWidth="1"/>
    <col min="3077" max="3077" width="10" style="771" bestFit="1" customWidth="1"/>
    <col min="3078" max="3078" width="16.85546875" style="771" customWidth="1"/>
    <col min="3079" max="3079" width="15.85546875" style="771" customWidth="1"/>
    <col min="3080" max="3080" width="15.5703125" style="771" customWidth="1"/>
    <col min="3081" max="3081" width="13.28515625" style="771" customWidth="1"/>
    <col min="3082" max="3328" width="9.140625" style="771"/>
    <col min="3329" max="3329" width="16" style="771" customWidth="1"/>
    <col min="3330" max="3330" width="16.85546875" style="771" customWidth="1"/>
    <col min="3331" max="3331" width="17.5703125" style="771" bestFit="1" customWidth="1"/>
    <col min="3332" max="3332" width="60.7109375" style="771" customWidth="1"/>
    <col min="3333" max="3333" width="10" style="771" bestFit="1" customWidth="1"/>
    <col min="3334" max="3334" width="16.85546875" style="771" customWidth="1"/>
    <col min="3335" max="3335" width="15.85546875" style="771" customWidth="1"/>
    <col min="3336" max="3336" width="15.5703125" style="771" customWidth="1"/>
    <col min="3337" max="3337" width="13.28515625" style="771" customWidth="1"/>
    <col min="3338" max="3584" width="9.140625" style="771"/>
    <col min="3585" max="3585" width="16" style="771" customWidth="1"/>
    <col min="3586" max="3586" width="16.85546875" style="771" customWidth="1"/>
    <col min="3587" max="3587" width="17.5703125" style="771" bestFit="1" customWidth="1"/>
    <col min="3588" max="3588" width="60.7109375" style="771" customWidth="1"/>
    <col min="3589" max="3589" width="10" style="771" bestFit="1" customWidth="1"/>
    <col min="3590" max="3590" width="16.85546875" style="771" customWidth="1"/>
    <col min="3591" max="3591" width="15.85546875" style="771" customWidth="1"/>
    <col min="3592" max="3592" width="15.5703125" style="771" customWidth="1"/>
    <col min="3593" max="3593" width="13.28515625" style="771" customWidth="1"/>
    <col min="3594" max="3840" width="9.140625" style="771"/>
    <col min="3841" max="3841" width="16" style="771" customWidth="1"/>
    <col min="3842" max="3842" width="16.85546875" style="771" customWidth="1"/>
    <col min="3843" max="3843" width="17.5703125" style="771" bestFit="1" customWidth="1"/>
    <col min="3844" max="3844" width="60.7109375" style="771" customWidth="1"/>
    <col min="3845" max="3845" width="10" style="771" bestFit="1" customWidth="1"/>
    <col min="3846" max="3846" width="16.85546875" style="771" customWidth="1"/>
    <col min="3847" max="3847" width="15.85546875" style="771" customWidth="1"/>
    <col min="3848" max="3848" width="15.5703125" style="771" customWidth="1"/>
    <col min="3849" max="3849" width="13.28515625" style="771" customWidth="1"/>
    <col min="3850" max="4096" width="9.140625" style="771"/>
    <col min="4097" max="4097" width="16" style="771" customWidth="1"/>
    <col min="4098" max="4098" width="16.85546875" style="771" customWidth="1"/>
    <col min="4099" max="4099" width="17.5703125" style="771" bestFit="1" customWidth="1"/>
    <col min="4100" max="4100" width="60.7109375" style="771" customWidth="1"/>
    <col min="4101" max="4101" width="10" style="771" bestFit="1" customWidth="1"/>
    <col min="4102" max="4102" width="16.85546875" style="771" customWidth="1"/>
    <col min="4103" max="4103" width="15.85546875" style="771" customWidth="1"/>
    <col min="4104" max="4104" width="15.5703125" style="771" customWidth="1"/>
    <col min="4105" max="4105" width="13.28515625" style="771" customWidth="1"/>
    <col min="4106" max="4352" width="9.140625" style="771"/>
    <col min="4353" max="4353" width="16" style="771" customWidth="1"/>
    <col min="4354" max="4354" width="16.85546875" style="771" customWidth="1"/>
    <col min="4355" max="4355" width="17.5703125" style="771" bestFit="1" customWidth="1"/>
    <col min="4356" max="4356" width="60.7109375" style="771" customWidth="1"/>
    <col min="4357" max="4357" width="10" style="771" bestFit="1" customWidth="1"/>
    <col min="4358" max="4358" width="16.85546875" style="771" customWidth="1"/>
    <col min="4359" max="4359" width="15.85546875" style="771" customWidth="1"/>
    <col min="4360" max="4360" width="15.5703125" style="771" customWidth="1"/>
    <col min="4361" max="4361" width="13.28515625" style="771" customWidth="1"/>
    <col min="4362" max="4608" width="9.140625" style="771"/>
    <col min="4609" max="4609" width="16" style="771" customWidth="1"/>
    <col min="4610" max="4610" width="16.85546875" style="771" customWidth="1"/>
    <col min="4611" max="4611" width="17.5703125" style="771" bestFit="1" customWidth="1"/>
    <col min="4612" max="4612" width="60.7109375" style="771" customWidth="1"/>
    <col min="4613" max="4613" width="10" style="771" bestFit="1" customWidth="1"/>
    <col min="4614" max="4614" width="16.85546875" style="771" customWidth="1"/>
    <col min="4615" max="4615" width="15.85546875" style="771" customWidth="1"/>
    <col min="4616" max="4616" width="15.5703125" style="771" customWidth="1"/>
    <col min="4617" max="4617" width="13.28515625" style="771" customWidth="1"/>
    <col min="4618" max="4864" width="9.140625" style="771"/>
    <col min="4865" max="4865" width="16" style="771" customWidth="1"/>
    <col min="4866" max="4866" width="16.85546875" style="771" customWidth="1"/>
    <col min="4867" max="4867" width="17.5703125" style="771" bestFit="1" customWidth="1"/>
    <col min="4868" max="4868" width="60.7109375" style="771" customWidth="1"/>
    <col min="4869" max="4869" width="10" style="771" bestFit="1" customWidth="1"/>
    <col min="4870" max="4870" width="16.85546875" style="771" customWidth="1"/>
    <col min="4871" max="4871" width="15.85546875" style="771" customWidth="1"/>
    <col min="4872" max="4872" width="15.5703125" style="771" customWidth="1"/>
    <col min="4873" max="4873" width="13.28515625" style="771" customWidth="1"/>
    <col min="4874" max="5120" width="9.140625" style="771"/>
    <col min="5121" max="5121" width="16" style="771" customWidth="1"/>
    <col min="5122" max="5122" width="16.85546875" style="771" customWidth="1"/>
    <col min="5123" max="5123" width="17.5703125" style="771" bestFit="1" customWidth="1"/>
    <col min="5124" max="5124" width="60.7109375" style="771" customWidth="1"/>
    <col min="5125" max="5125" width="10" style="771" bestFit="1" customWidth="1"/>
    <col min="5126" max="5126" width="16.85546875" style="771" customWidth="1"/>
    <col min="5127" max="5127" width="15.85546875" style="771" customWidth="1"/>
    <col min="5128" max="5128" width="15.5703125" style="771" customWidth="1"/>
    <col min="5129" max="5129" width="13.28515625" style="771" customWidth="1"/>
    <col min="5130" max="5376" width="9.140625" style="771"/>
    <col min="5377" max="5377" width="16" style="771" customWidth="1"/>
    <col min="5378" max="5378" width="16.85546875" style="771" customWidth="1"/>
    <col min="5379" max="5379" width="17.5703125" style="771" bestFit="1" customWidth="1"/>
    <col min="5380" max="5380" width="60.7109375" style="771" customWidth="1"/>
    <col min="5381" max="5381" width="10" style="771" bestFit="1" customWidth="1"/>
    <col min="5382" max="5382" width="16.85546875" style="771" customWidth="1"/>
    <col min="5383" max="5383" width="15.85546875" style="771" customWidth="1"/>
    <col min="5384" max="5384" width="15.5703125" style="771" customWidth="1"/>
    <col min="5385" max="5385" width="13.28515625" style="771" customWidth="1"/>
    <col min="5386" max="5632" width="9.140625" style="771"/>
    <col min="5633" max="5633" width="16" style="771" customWidth="1"/>
    <col min="5634" max="5634" width="16.85546875" style="771" customWidth="1"/>
    <col min="5635" max="5635" width="17.5703125" style="771" bestFit="1" customWidth="1"/>
    <col min="5636" max="5636" width="60.7109375" style="771" customWidth="1"/>
    <col min="5637" max="5637" width="10" style="771" bestFit="1" customWidth="1"/>
    <col min="5638" max="5638" width="16.85546875" style="771" customWidth="1"/>
    <col min="5639" max="5639" width="15.85546875" style="771" customWidth="1"/>
    <col min="5640" max="5640" width="15.5703125" style="771" customWidth="1"/>
    <col min="5641" max="5641" width="13.28515625" style="771" customWidth="1"/>
    <col min="5642" max="5888" width="9.140625" style="771"/>
    <col min="5889" max="5889" width="16" style="771" customWidth="1"/>
    <col min="5890" max="5890" width="16.85546875" style="771" customWidth="1"/>
    <col min="5891" max="5891" width="17.5703125" style="771" bestFit="1" customWidth="1"/>
    <col min="5892" max="5892" width="60.7109375" style="771" customWidth="1"/>
    <col min="5893" max="5893" width="10" style="771" bestFit="1" customWidth="1"/>
    <col min="5894" max="5894" width="16.85546875" style="771" customWidth="1"/>
    <col min="5895" max="5895" width="15.85546875" style="771" customWidth="1"/>
    <col min="5896" max="5896" width="15.5703125" style="771" customWidth="1"/>
    <col min="5897" max="5897" width="13.28515625" style="771" customWidth="1"/>
    <col min="5898" max="6144" width="9.140625" style="771"/>
    <col min="6145" max="6145" width="16" style="771" customWidth="1"/>
    <col min="6146" max="6146" width="16.85546875" style="771" customWidth="1"/>
    <col min="6147" max="6147" width="17.5703125" style="771" bestFit="1" customWidth="1"/>
    <col min="6148" max="6148" width="60.7109375" style="771" customWidth="1"/>
    <col min="6149" max="6149" width="10" style="771" bestFit="1" customWidth="1"/>
    <col min="6150" max="6150" width="16.85546875" style="771" customWidth="1"/>
    <col min="6151" max="6151" width="15.85546875" style="771" customWidth="1"/>
    <col min="6152" max="6152" width="15.5703125" style="771" customWidth="1"/>
    <col min="6153" max="6153" width="13.28515625" style="771" customWidth="1"/>
    <col min="6154" max="6400" width="9.140625" style="771"/>
    <col min="6401" max="6401" width="16" style="771" customWidth="1"/>
    <col min="6402" max="6402" width="16.85546875" style="771" customWidth="1"/>
    <col min="6403" max="6403" width="17.5703125" style="771" bestFit="1" customWidth="1"/>
    <col min="6404" max="6404" width="60.7109375" style="771" customWidth="1"/>
    <col min="6405" max="6405" width="10" style="771" bestFit="1" customWidth="1"/>
    <col min="6406" max="6406" width="16.85546875" style="771" customWidth="1"/>
    <col min="6407" max="6407" width="15.85546875" style="771" customWidth="1"/>
    <col min="6408" max="6408" width="15.5703125" style="771" customWidth="1"/>
    <col min="6409" max="6409" width="13.28515625" style="771" customWidth="1"/>
    <col min="6410" max="6656" width="9.140625" style="771"/>
    <col min="6657" max="6657" width="16" style="771" customWidth="1"/>
    <col min="6658" max="6658" width="16.85546875" style="771" customWidth="1"/>
    <col min="6659" max="6659" width="17.5703125" style="771" bestFit="1" customWidth="1"/>
    <col min="6660" max="6660" width="60.7109375" style="771" customWidth="1"/>
    <col min="6661" max="6661" width="10" style="771" bestFit="1" customWidth="1"/>
    <col min="6662" max="6662" width="16.85546875" style="771" customWidth="1"/>
    <col min="6663" max="6663" width="15.85546875" style="771" customWidth="1"/>
    <col min="6664" max="6664" width="15.5703125" style="771" customWidth="1"/>
    <col min="6665" max="6665" width="13.28515625" style="771" customWidth="1"/>
    <col min="6666" max="6912" width="9.140625" style="771"/>
    <col min="6913" max="6913" width="16" style="771" customWidth="1"/>
    <col min="6914" max="6914" width="16.85546875" style="771" customWidth="1"/>
    <col min="6915" max="6915" width="17.5703125" style="771" bestFit="1" customWidth="1"/>
    <col min="6916" max="6916" width="60.7109375" style="771" customWidth="1"/>
    <col min="6917" max="6917" width="10" style="771" bestFit="1" customWidth="1"/>
    <col min="6918" max="6918" width="16.85546875" style="771" customWidth="1"/>
    <col min="6919" max="6919" width="15.85546875" style="771" customWidth="1"/>
    <col min="6920" max="6920" width="15.5703125" style="771" customWidth="1"/>
    <col min="6921" max="6921" width="13.28515625" style="771" customWidth="1"/>
    <col min="6922" max="7168" width="9.140625" style="771"/>
    <col min="7169" max="7169" width="16" style="771" customWidth="1"/>
    <col min="7170" max="7170" width="16.85546875" style="771" customWidth="1"/>
    <col min="7171" max="7171" width="17.5703125" style="771" bestFit="1" customWidth="1"/>
    <col min="7172" max="7172" width="60.7109375" style="771" customWidth="1"/>
    <col min="7173" max="7173" width="10" style="771" bestFit="1" customWidth="1"/>
    <col min="7174" max="7174" width="16.85546875" style="771" customWidth="1"/>
    <col min="7175" max="7175" width="15.85546875" style="771" customWidth="1"/>
    <col min="7176" max="7176" width="15.5703125" style="771" customWidth="1"/>
    <col min="7177" max="7177" width="13.28515625" style="771" customWidth="1"/>
    <col min="7178" max="7424" width="9.140625" style="771"/>
    <col min="7425" max="7425" width="16" style="771" customWidth="1"/>
    <col min="7426" max="7426" width="16.85546875" style="771" customWidth="1"/>
    <col min="7427" max="7427" width="17.5703125" style="771" bestFit="1" customWidth="1"/>
    <col min="7428" max="7428" width="60.7109375" style="771" customWidth="1"/>
    <col min="7429" max="7429" width="10" style="771" bestFit="1" customWidth="1"/>
    <col min="7430" max="7430" width="16.85546875" style="771" customWidth="1"/>
    <col min="7431" max="7431" width="15.85546875" style="771" customWidth="1"/>
    <col min="7432" max="7432" width="15.5703125" style="771" customWidth="1"/>
    <col min="7433" max="7433" width="13.28515625" style="771" customWidth="1"/>
    <col min="7434" max="7680" width="9.140625" style="771"/>
    <col min="7681" max="7681" width="16" style="771" customWidth="1"/>
    <col min="7682" max="7682" width="16.85546875" style="771" customWidth="1"/>
    <col min="7683" max="7683" width="17.5703125" style="771" bestFit="1" customWidth="1"/>
    <col min="7684" max="7684" width="60.7109375" style="771" customWidth="1"/>
    <col min="7685" max="7685" width="10" style="771" bestFit="1" customWidth="1"/>
    <col min="7686" max="7686" width="16.85546875" style="771" customWidth="1"/>
    <col min="7687" max="7687" width="15.85546875" style="771" customWidth="1"/>
    <col min="7688" max="7688" width="15.5703125" style="771" customWidth="1"/>
    <col min="7689" max="7689" width="13.28515625" style="771" customWidth="1"/>
    <col min="7690" max="7936" width="9.140625" style="771"/>
    <col min="7937" max="7937" width="16" style="771" customWidth="1"/>
    <col min="7938" max="7938" width="16.85546875" style="771" customWidth="1"/>
    <col min="7939" max="7939" width="17.5703125" style="771" bestFit="1" customWidth="1"/>
    <col min="7940" max="7940" width="60.7109375" style="771" customWidth="1"/>
    <col min="7941" max="7941" width="10" style="771" bestFit="1" customWidth="1"/>
    <col min="7942" max="7942" width="16.85546875" style="771" customWidth="1"/>
    <col min="7943" max="7943" width="15.85546875" style="771" customWidth="1"/>
    <col min="7944" max="7944" width="15.5703125" style="771" customWidth="1"/>
    <col min="7945" max="7945" width="13.28515625" style="771" customWidth="1"/>
    <col min="7946" max="8192" width="9.140625" style="771"/>
    <col min="8193" max="8193" width="16" style="771" customWidth="1"/>
    <col min="8194" max="8194" width="16.85546875" style="771" customWidth="1"/>
    <col min="8195" max="8195" width="17.5703125" style="771" bestFit="1" customWidth="1"/>
    <col min="8196" max="8196" width="60.7109375" style="771" customWidth="1"/>
    <col min="8197" max="8197" width="10" style="771" bestFit="1" customWidth="1"/>
    <col min="8198" max="8198" width="16.85546875" style="771" customWidth="1"/>
    <col min="8199" max="8199" width="15.85546875" style="771" customWidth="1"/>
    <col min="8200" max="8200" width="15.5703125" style="771" customWidth="1"/>
    <col min="8201" max="8201" width="13.28515625" style="771" customWidth="1"/>
    <col min="8202" max="8448" width="9.140625" style="771"/>
    <col min="8449" max="8449" width="16" style="771" customWidth="1"/>
    <col min="8450" max="8450" width="16.85546875" style="771" customWidth="1"/>
    <col min="8451" max="8451" width="17.5703125" style="771" bestFit="1" customWidth="1"/>
    <col min="8452" max="8452" width="60.7109375" style="771" customWidth="1"/>
    <col min="8453" max="8453" width="10" style="771" bestFit="1" customWidth="1"/>
    <col min="8454" max="8454" width="16.85546875" style="771" customWidth="1"/>
    <col min="8455" max="8455" width="15.85546875" style="771" customWidth="1"/>
    <col min="8456" max="8456" width="15.5703125" style="771" customWidth="1"/>
    <col min="8457" max="8457" width="13.28515625" style="771" customWidth="1"/>
    <col min="8458" max="8704" width="9.140625" style="771"/>
    <col min="8705" max="8705" width="16" style="771" customWidth="1"/>
    <col min="8706" max="8706" width="16.85546875" style="771" customWidth="1"/>
    <col min="8707" max="8707" width="17.5703125" style="771" bestFit="1" customWidth="1"/>
    <col min="8708" max="8708" width="60.7109375" style="771" customWidth="1"/>
    <col min="8709" max="8709" width="10" style="771" bestFit="1" customWidth="1"/>
    <col min="8710" max="8710" width="16.85546875" style="771" customWidth="1"/>
    <col min="8711" max="8711" width="15.85546875" style="771" customWidth="1"/>
    <col min="8712" max="8712" width="15.5703125" style="771" customWidth="1"/>
    <col min="8713" max="8713" width="13.28515625" style="771" customWidth="1"/>
    <col min="8714" max="8960" width="9.140625" style="771"/>
    <col min="8961" max="8961" width="16" style="771" customWidth="1"/>
    <col min="8962" max="8962" width="16.85546875" style="771" customWidth="1"/>
    <col min="8963" max="8963" width="17.5703125" style="771" bestFit="1" customWidth="1"/>
    <col min="8964" max="8964" width="60.7109375" style="771" customWidth="1"/>
    <col min="8965" max="8965" width="10" style="771" bestFit="1" customWidth="1"/>
    <col min="8966" max="8966" width="16.85546875" style="771" customWidth="1"/>
    <col min="8967" max="8967" width="15.85546875" style="771" customWidth="1"/>
    <col min="8968" max="8968" width="15.5703125" style="771" customWidth="1"/>
    <col min="8969" max="8969" width="13.28515625" style="771" customWidth="1"/>
    <col min="8970" max="9216" width="9.140625" style="771"/>
    <col min="9217" max="9217" width="16" style="771" customWidth="1"/>
    <col min="9218" max="9218" width="16.85546875" style="771" customWidth="1"/>
    <col min="9219" max="9219" width="17.5703125" style="771" bestFit="1" customWidth="1"/>
    <col min="9220" max="9220" width="60.7109375" style="771" customWidth="1"/>
    <col min="9221" max="9221" width="10" style="771" bestFit="1" customWidth="1"/>
    <col min="9222" max="9222" width="16.85546875" style="771" customWidth="1"/>
    <col min="9223" max="9223" width="15.85546875" style="771" customWidth="1"/>
    <col min="9224" max="9224" width="15.5703125" style="771" customWidth="1"/>
    <col min="9225" max="9225" width="13.28515625" style="771" customWidth="1"/>
    <col min="9226" max="9472" width="9.140625" style="771"/>
    <col min="9473" max="9473" width="16" style="771" customWidth="1"/>
    <col min="9474" max="9474" width="16.85546875" style="771" customWidth="1"/>
    <col min="9475" max="9475" width="17.5703125" style="771" bestFit="1" customWidth="1"/>
    <col min="9476" max="9476" width="60.7109375" style="771" customWidth="1"/>
    <col min="9477" max="9477" width="10" style="771" bestFit="1" customWidth="1"/>
    <col min="9478" max="9478" width="16.85546875" style="771" customWidth="1"/>
    <col min="9479" max="9479" width="15.85546875" style="771" customWidth="1"/>
    <col min="9480" max="9480" width="15.5703125" style="771" customWidth="1"/>
    <col min="9481" max="9481" width="13.28515625" style="771" customWidth="1"/>
    <col min="9482" max="9728" width="9.140625" style="771"/>
    <col min="9729" max="9729" width="16" style="771" customWidth="1"/>
    <col min="9730" max="9730" width="16.85546875" style="771" customWidth="1"/>
    <col min="9731" max="9731" width="17.5703125" style="771" bestFit="1" customWidth="1"/>
    <col min="9732" max="9732" width="60.7109375" style="771" customWidth="1"/>
    <col min="9733" max="9733" width="10" style="771" bestFit="1" customWidth="1"/>
    <col min="9734" max="9734" width="16.85546875" style="771" customWidth="1"/>
    <col min="9735" max="9735" width="15.85546875" style="771" customWidth="1"/>
    <col min="9736" max="9736" width="15.5703125" style="771" customWidth="1"/>
    <col min="9737" max="9737" width="13.28515625" style="771" customWidth="1"/>
    <col min="9738" max="9984" width="9.140625" style="771"/>
    <col min="9985" max="9985" width="16" style="771" customWidth="1"/>
    <col min="9986" max="9986" width="16.85546875" style="771" customWidth="1"/>
    <col min="9987" max="9987" width="17.5703125" style="771" bestFit="1" customWidth="1"/>
    <col min="9988" max="9988" width="60.7109375" style="771" customWidth="1"/>
    <col min="9989" max="9989" width="10" style="771" bestFit="1" customWidth="1"/>
    <col min="9990" max="9990" width="16.85546875" style="771" customWidth="1"/>
    <col min="9991" max="9991" width="15.85546875" style="771" customWidth="1"/>
    <col min="9992" max="9992" width="15.5703125" style="771" customWidth="1"/>
    <col min="9993" max="9993" width="13.28515625" style="771" customWidth="1"/>
    <col min="9994" max="10240" width="9.140625" style="771"/>
    <col min="10241" max="10241" width="16" style="771" customWidth="1"/>
    <col min="10242" max="10242" width="16.85546875" style="771" customWidth="1"/>
    <col min="10243" max="10243" width="17.5703125" style="771" bestFit="1" customWidth="1"/>
    <col min="10244" max="10244" width="60.7109375" style="771" customWidth="1"/>
    <col min="10245" max="10245" width="10" style="771" bestFit="1" customWidth="1"/>
    <col min="10246" max="10246" width="16.85546875" style="771" customWidth="1"/>
    <col min="10247" max="10247" width="15.85546875" style="771" customWidth="1"/>
    <col min="10248" max="10248" width="15.5703125" style="771" customWidth="1"/>
    <col min="10249" max="10249" width="13.28515625" style="771" customWidth="1"/>
    <col min="10250" max="10496" width="9.140625" style="771"/>
    <col min="10497" max="10497" width="16" style="771" customWidth="1"/>
    <col min="10498" max="10498" width="16.85546875" style="771" customWidth="1"/>
    <col min="10499" max="10499" width="17.5703125" style="771" bestFit="1" customWidth="1"/>
    <col min="10500" max="10500" width="60.7109375" style="771" customWidth="1"/>
    <col min="10501" max="10501" width="10" style="771" bestFit="1" customWidth="1"/>
    <col min="10502" max="10502" width="16.85546875" style="771" customWidth="1"/>
    <col min="10503" max="10503" width="15.85546875" style="771" customWidth="1"/>
    <col min="10504" max="10504" width="15.5703125" style="771" customWidth="1"/>
    <col min="10505" max="10505" width="13.28515625" style="771" customWidth="1"/>
    <col min="10506" max="10752" width="9.140625" style="771"/>
    <col min="10753" max="10753" width="16" style="771" customWidth="1"/>
    <col min="10754" max="10754" width="16.85546875" style="771" customWidth="1"/>
    <col min="10755" max="10755" width="17.5703125" style="771" bestFit="1" customWidth="1"/>
    <col min="10756" max="10756" width="60.7109375" style="771" customWidth="1"/>
    <col min="10757" max="10757" width="10" style="771" bestFit="1" customWidth="1"/>
    <col min="10758" max="10758" width="16.85546875" style="771" customWidth="1"/>
    <col min="10759" max="10759" width="15.85546875" style="771" customWidth="1"/>
    <col min="10760" max="10760" width="15.5703125" style="771" customWidth="1"/>
    <col min="10761" max="10761" width="13.28515625" style="771" customWidth="1"/>
    <col min="10762" max="11008" width="9.140625" style="771"/>
    <col min="11009" max="11009" width="16" style="771" customWidth="1"/>
    <col min="11010" max="11010" width="16.85546875" style="771" customWidth="1"/>
    <col min="11011" max="11011" width="17.5703125" style="771" bestFit="1" customWidth="1"/>
    <col min="11012" max="11012" width="60.7109375" style="771" customWidth="1"/>
    <col min="11013" max="11013" width="10" style="771" bestFit="1" customWidth="1"/>
    <col min="11014" max="11014" width="16.85546875" style="771" customWidth="1"/>
    <col min="11015" max="11015" width="15.85546875" style="771" customWidth="1"/>
    <col min="11016" max="11016" width="15.5703125" style="771" customWidth="1"/>
    <col min="11017" max="11017" width="13.28515625" style="771" customWidth="1"/>
    <col min="11018" max="11264" width="9.140625" style="771"/>
    <col min="11265" max="11265" width="16" style="771" customWidth="1"/>
    <col min="11266" max="11266" width="16.85546875" style="771" customWidth="1"/>
    <col min="11267" max="11267" width="17.5703125" style="771" bestFit="1" customWidth="1"/>
    <col min="11268" max="11268" width="60.7109375" style="771" customWidth="1"/>
    <col min="11269" max="11269" width="10" style="771" bestFit="1" customWidth="1"/>
    <col min="11270" max="11270" width="16.85546875" style="771" customWidth="1"/>
    <col min="11271" max="11271" width="15.85546875" style="771" customWidth="1"/>
    <col min="11272" max="11272" width="15.5703125" style="771" customWidth="1"/>
    <col min="11273" max="11273" width="13.28515625" style="771" customWidth="1"/>
    <col min="11274" max="11520" width="9.140625" style="771"/>
    <col min="11521" max="11521" width="16" style="771" customWidth="1"/>
    <col min="11522" max="11522" width="16.85546875" style="771" customWidth="1"/>
    <col min="11523" max="11523" width="17.5703125" style="771" bestFit="1" customWidth="1"/>
    <col min="11524" max="11524" width="60.7109375" style="771" customWidth="1"/>
    <col min="11525" max="11525" width="10" style="771" bestFit="1" customWidth="1"/>
    <col min="11526" max="11526" width="16.85546875" style="771" customWidth="1"/>
    <col min="11527" max="11527" width="15.85546875" style="771" customWidth="1"/>
    <col min="11528" max="11528" width="15.5703125" style="771" customWidth="1"/>
    <col min="11529" max="11529" width="13.28515625" style="771" customWidth="1"/>
    <col min="11530" max="11776" width="9.140625" style="771"/>
    <col min="11777" max="11777" width="16" style="771" customWidth="1"/>
    <col min="11778" max="11778" width="16.85546875" style="771" customWidth="1"/>
    <col min="11779" max="11779" width="17.5703125" style="771" bestFit="1" customWidth="1"/>
    <col min="11780" max="11780" width="60.7109375" style="771" customWidth="1"/>
    <col min="11781" max="11781" width="10" style="771" bestFit="1" customWidth="1"/>
    <col min="11782" max="11782" width="16.85546875" style="771" customWidth="1"/>
    <col min="11783" max="11783" width="15.85546875" style="771" customWidth="1"/>
    <col min="11784" max="11784" width="15.5703125" style="771" customWidth="1"/>
    <col min="11785" max="11785" width="13.28515625" style="771" customWidth="1"/>
    <col min="11786" max="12032" width="9.140625" style="771"/>
    <col min="12033" max="12033" width="16" style="771" customWidth="1"/>
    <col min="12034" max="12034" width="16.85546875" style="771" customWidth="1"/>
    <col min="12035" max="12035" width="17.5703125" style="771" bestFit="1" customWidth="1"/>
    <col min="12036" max="12036" width="60.7109375" style="771" customWidth="1"/>
    <col min="12037" max="12037" width="10" style="771" bestFit="1" customWidth="1"/>
    <col min="12038" max="12038" width="16.85546875" style="771" customWidth="1"/>
    <col min="12039" max="12039" width="15.85546875" style="771" customWidth="1"/>
    <col min="12040" max="12040" width="15.5703125" style="771" customWidth="1"/>
    <col min="12041" max="12041" width="13.28515625" style="771" customWidth="1"/>
    <col min="12042" max="12288" width="9.140625" style="771"/>
    <col min="12289" max="12289" width="16" style="771" customWidth="1"/>
    <col min="12290" max="12290" width="16.85546875" style="771" customWidth="1"/>
    <col min="12291" max="12291" width="17.5703125" style="771" bestFit="1" customWidth="1"/>
    <col min="12292" max="12292" width="60.7109375" style="771" customWidth="1"/>
    <col min="12293" max="12293" width="10" style="771" bestFit="1" customWidth="1"/>
    <col min="12294" max="12294" width="16.85546875" style="771" customWidth="1"/>
    <col min="12295" max="12295" width="15.85546875" style="771" customWidth="1"/>
    <col min="12296" max="12296" width="15.5703125" style="771" customWidth="1"/>
    <col min="12297" max="12297" width="13.28515625" style="771" customWidth="1"/>
    <col min="12298" max="12544" width="9.140625" style="771"/>
    <col min="12545" max="12545" width="16" style="771" customWidth="1"/>
    <col min="12546" max="12546" width="16.85546875" style="771" customWidth="1"/>
    <col min="12547" max="12547" width="17.5703125" style="771" bestFit="1" customWidth="1"/>
    <col min="12548" max="12548" width="60.7109375" style="771" customWidth="1"/>
    <col min="12549" max="12549" width="10" style="771" bestFit="1" customWidth="1"/>
    <col min="12550" max="12550" width="16.85546875" style="771" customWidth="1"/>
    <col min="12551" max="12551" width="15.85546875" style="771" customWidth="1"/>
    <col min="12552" max="12552" width="15.5703125" style="771" customWidth="1"/>
    <col min="12553" max="12553" width="13.28515625" style="771" customWidth="1"/>
    <col min="12554" max="12800" width="9.140625" style="771"/>
    <col min="12801" max="12801" width="16" style="771" customWidth="1"/>
    <col min="12802" max="12802" width="16.85546875" style="771" customWidth="1"/>
    <col min="12803" max="12803" width="17.5703125" style="771" bestFit="1" customWidth="1"/>
    <col min="12804" max="12804" width="60.7109375" style="771" customWidth="1"/>
    <col min="12805" max="12805" width="10" style="771" bestFit="1" customWidth="1"/>
    <col min="12806" max="12806" width="16.85546875" style="771" customWidth="1"/>
    <col min="12807" max="12807" width="15.85546875" style="771" customWidth="1"/>
    <col min="12808" max="12808" width="15.5703125" style="771" customWidth="1"/>
    <col min="12809" max="12809" width="13.28515625" style="771" customWidth="1"/>
    <col min="12810" max="13056" width="9.140625" style="771"/>
    <col min="13057" max="13057" width="16" style="771" customWidth="1"/>
    <col min="13058" max="13058" width="16.85546875" style="771" customWidth="1"/>
    <col min="13059" max="13059" width="17.5703125" style="771" bestFit="1" customWidth="1"/>
    <col min="13060" max="13060" width="60.7109375" style="771" customWidth="1"/>
    <col min="13061" max="13061" width="10" style="771" bestFit="1" customWidth="1"/>
    <col min="13062" max="13062" width="16.85546875" style="771" customWidth="1"/>
    <col min="13063" max="13063" width="15.85546875" style="771" customWidth="1"/>
    <col min="13064" max="13064" width="15.5703125" style="771" customWidth="1"/>
    <col min="13065" max="13065" width="13.28515625" style="771" customWidth="1"/>
    <col min="13066" max="13312" width="9.140625" style="771"/>
    <col min="13313" max="13313" width="16" style="771" customWidth="1"/>
    <col min="13314" max="13314" width="16.85546875" style="771" customWidth="1"/>
    <col min="13315" max="13315" width="17.5703125" style="771" bestFit="1" customWidth="1"/>
    <col min="13316" max="13316" width="60.7109375" style="771" customWidth="1"/>
    <col min="13317" max="13317" width="10" style="771" bestFit="1" customWidth="1"/>
    <col min="13318" max="13318" width="16.85546875" style="771" customWidth="1"/>
    <col min="13319" max="13319" width="15.85546875" style="771" customWidth="1"/>
    <col min="13320" max="13320" width="15.5703125" style="771" customWidth="1"/>
    <col min="13321" max="13321" width="13.28515625" style="771" customWidth="1"/>
    <col min="13322" max="13568" width="9.140625" style="771"/>
    <col min="13569" max="13569" width="16" style="771" customWidth="1"/>
    <col min="13570" max="13570" width="16.85546875" style="771" customWidth="1"/>
    <col min="13571" max="13571" width="17.5703125" style="771" bestFit="1" customWidth="1"/>
    <col min="13572" max="13572" width="60.7109375" style="771" customWidth="1"/>
    <col min="13573" max="13573" width="10" style="771" bestFit="1" customWidth="1"/>
    <col min="13574" max="13574" width="16.85546875" style="771" customWidth="1"/>
    <col min="13575" max="13575" width="15.85546875" style="771" customWidth="1"/>
    <col min="13576" max="13576" width="15.5703125" style="771" customWidth="1"/>
    <col min="13577" max="13577" width="13.28515625" style="771" customWidth="1"/>
    <col min="13578" max="13824" width="9.140625" style="771"/>
    <col min="13825" max="13825" width="16" style="771" customWidth="1"/>
    <col min="13826" max="13826" width="16.85546875" style="771" customWidth="1"/>
    <col min="13827" max="13827" width="17.5703125" style="771" bestFit="1" customWidth="1"/>
    <col min="13828" max="13828" width="60.7109375" style="771" customWidth="1"/>
    <col min="13829" max="13829" width="10" style="771" bestFit="1" customWidth="1"/>
    <col min="13830" max="13830" width="16.85546875" style="771" customWidth="1"/>
    <col min="13831" max="13831" width="15.85546875" style="771" customWidth="1"/>
    <col min="13832" max="13832" width="15.5703125" style="771" customWidth="1"/>
    <col min="13833" max="13833" width="13.28515625" style="771" customWidth="1"/>
    <col min="13834" max="14080" width="9.140625" style="771"/>
    <col min="14081" max="14081" width="16" style="771" customWidth="1"/>
    <col min="14082" max="14082" width="16.85546875" style="771" customWidth="1"/>
    <col min="14083" max="14083" width="17.5703125" style="771" bestFit="1" customWidth="1"/>
    <col min="14084" max="14084" width="60.7109375" style="771" customWidth="1"/>
    <col min="14085" max="14085" width="10" style="771" bestFit="1" customWidth="1"/>
    <col min="14086" max="14086" width="16.85546875" style="771" customWidth="1"/>
    <col min="14087" max="14087" width="15.85546875" style="771" customWidth="1"/>
    <col min="14088" max="14088" width="15.5703125" style="771" customWidth="1"/>
    <col min="14089" max="14089" width="13.28515625" style="771" customWidth="1"/>
    <col min="14090" max="14336" width="9.140625" style="771"/>
    <col min="14337" max="14337" width="16" style="771" customWidth="1"/>
    <col min="14338" max="14338" width="16.85546875" style="771" customWidth="1"/>
    <col min="14339" max="14339" width="17.5703125" style="771" bestFit="1" customWidth="1"/>
    <col min="14340" max="14340" width="60.7109375" style="771" customWidth="1"/>
    <col min="14341" max="14341" width="10" style="771" bestFit="1" customWidth="1"/>
    <col min="14342" max="14342" width="16.85546875" style="771" customWidth="1"/>
    <col min="14343" max="14343" width="15.85546875" style="771" customWidth="1"/>
    <col min="14344" max="14344" width="15.5703125" style="771" customWidth="1"/>
    <col min="14345" max="14345" width="13.28515625" style="771" customWidth="1"/>
    <col min="14346" max="14592" width="9.140625" style="771"/>
    <col min="14593" max="14593" width="16" style="771" customWidth="1"/>
    <col min="14594" max="14594" width="16.85546875" style="771" customWidth="1"/>
    <col min="14595" max="14595" width="17.5703125" style="771" bestFit="1" customWidth="1"/>
    <col min="14596" max="14596" width="60.7109375" style="771" customWidth="1"/>
    <col min="14597" max="14597" width="10" style="771" bestFit="1" customWidth="1"/>
    <col min="14598" max="14598" width="16.85546875" style="771" customWidth="1"/>
    <col min="14599" max="14599" width="15.85546875" style="771" customWidth="1"/>
    <col min="14600" max="14600" width="15.5703125" style="771" customWidth="1"/>
    <col min="14601" max="14601" width="13.28515625" style="771" customWidth="1"/>
    <col min="14602" max="14848" width="9.140625" style="771"/>
    <col min="14849" max="14849" width="16" style="771" customWidth="1"/>
    <col min="14850" max="14850" width="16.85546875" style="771" customWidth="1"/>
    <col min="14851" max="14851" width="17.5703125" style="771" bestFit="1" customWidth="1"/>
    <col min="14852" max="14852" width="60.7109375" style="771" customWidth="1"/>
    <col min="14853" max="14853" width="10" style="771" bestFit="1" customWidth="1"/>
    <col min="14854" max="14854" width="16.85546875" style="771" customWidth="1"/>
    <col min="14855" max="14855" width="15.85546875" style="771" customWidth="1"/>
    <col min="14856" max="14856" width="15.5703125" style="771" customWidth="1"/>
    <col min="14857" max="14857" width="13.28515625" style="771" customWidth="1"/>
    <col min="14858" max="15104" width="9.140625" style="771"/>
    <col min="15105" max="15105" width="16" style="771" customWidth="1"/>
    <col min="15106" max="15106" width="16.85546875" style="771" customWidth="1"/>
    <col min="15107" max="15107" width="17.5703125" style="771" bestFit="1" customWidth="1"/>
    <col min="15108" max="15108" width="60.7109375" style="771" customWidth="1"/>
    <col min="15109" max="15109" width="10" style="771" bestFit="1" customWidth="1"/>
    <col min="15110" max="15110" width="16.85546875" style="771" customWidth="1"/>
    <col min="15111" max="15111" width="15.85546875" style="771" customWidth="1"/>
    <col min="15112" max="15112" width="15.5703125" style="771" customWidth="1"/>
    <col min="15113" max="15113" width="13.28515625" style="771" customWidth="1"/>
    <col min="15114" max="15360" width="9.140625" style="771"/>
    <col min="15361" max="15361" width="16" style="771" customWidth="1"/>
    <col min="15362" max="15362" width="16.85546875" style="771" customWidth="1"/>
    <col min="15363" max="15363" width="17.5703125" style="771" bestFit="1" customWidth="1"/>
    <col min="15364" max="15364" width="60.7109375" style="771" customWidth="1"/>
    <col min="15365" max="15365" width="10" style="771" bestFit="1" customWidth="1"/>
    <col min="15366" max="15366" width="16.85546875" style="771" customWidth="1"/>
    <col min="15367" max="15367" width="15.85546875" style="771" customWidth="1"/>
    <col min="15368" max="15368" width="15.5703125" style="771" customWidth="1"/>
    <col min="15369" max="15369" width="13.28515625" style="771" customWidth="1"/>
    <col min="15370" max="15616" width="9.140625" style="771"/>
    <col min="15617" max="15617" width="16" style="771" customWidth="1"/>
    <col min="15618" max="15618" width="16.85546875" style="771" customWidth="1"/>
    <col min="15619" max="15619" width="17.5703125" style="771" bestFit="1" customWidth="1"/>
    <col min="15620" max="15620" width="60.7109375" style="771" customWidth="1"/>
    <col min="15621" max="15621" width="10" style="771" bestFit="1" customWidth="1"/>
    <col min="15622" max="15622" width="16.85546875" style="771" customWidth="1"/>
    <col min="15623" max="15623" width="15.85546875" style="771" customWidth="1"/>
    <col min="15624" max="15624" width="15.5703125" style="771" customWidth="1"/>
    <col min="15625" max="15625" width="13.28515625" style="771" customWidth="1"/>
    <col min="15626" max="15872" width="9.140625" style="771"/>
    <col min="15873" max="15873" width="16" style="771" customWidth="1"/>
    <col min="15874" max="15874" width="16.85546875" style="771" customWidth="1"/>
    <col min="15875" max="15875" width="17.5703125" style="771" bestFit="1" customWidth="1"/>
    <col min="15876" max="15876" width="60.7109375" style="771" customWidth="1"/>
    <col min="15877" max="15877" width="10" style="771" bestFit="1" customWidth="1"/>
    <col min="15878" max="15878" width="16.85546875" style="771" customWidth="1"/>
    <col min="15879" max="15879" width="15.85546875" style="771" customWidth="1"/>
    <col min="15880" max="15880" width="15.5703125" style="771" customWidth="1"/>
    <col min="15881" max="15881" width="13.28515625" style="771" customWidth="1"/>
    <col min="15882" max="16128" width="9.140625" style="771"/>
    <col min="16129" max="16129" width="16" style="771" customWidth="1"/>
    <col min="16130" max="16130" width="16.85546875" style="771" customWidth="1"/>
    <col min="16131" max="16131" width="17.5703125" style="771" bestFit="1" customWidth="1"/>
    <col min="16132" max="16132" width="60.7109375" style="771" customWidth="1"/>
    <col min="16133" max="16133" width="10" style="771" bestFit="1" customWidth="1"/>
    <col min="16134" max="16134" width="16.85546875" style="771" customWidth="1"/>
    <col min="16135" max="16135" width="15.85546875" style="771" customWidth="1"/>
    <col min="16136" max="16136" width="15.5703125" style="771" customWidth="1"/>
    <col min="16137" max="16137" width="13.28515625" style="771" customWidth="1"/>
    <col min="16138" max="16384" width="9.140625" style="771"/>
  </cols>
  <sheetData>
    <row r="1" spans="1:10" ht="24.75" customHeight="1" thickBot="1" x14ac:dyDescent="0.25">
      <c r="A1" s="769" t="s">
        <v>946</v>
      </c>
      <c r="B1" s="770"/>
      <c r="C1" s="770"/>
      <c r="D1" s="770"/>
      <c r="E1" s="770"/>
      <c r="F1" s="770"/>
      <c r="G1" s="770"/>
      <c r="H1" s="770"/>
    </row>
    <row r="2" spans="1:10" ht="66" customHeight="1" thickBot="1" x14ac:dyDescent="0.25">
      <c r="A2" s="772" t="s">
        <v>947</v>
      </c>
      <c r="B2" s="773" t="s">
        <v>948</v>
      </c>
      <c r="C2" s="774" t="s">
        <v>830</v>
      </c>
      <c r="D2" s="775" t="s">
        <v>949</v>
      </c>
      <c r="E2" s="776" t="s">
        <v>950</v>
      </c>
      <c r="F2" s="777" t="s">
        <v>951</v>
      </c>
      <c r="G2" s="777" t="s">
        <v>952</v>
      </c>
      <c r="H2" s="778" t="s">
        <v>953</v>
      </c>
    </row>
    <row r="3" spans="1:10" ht="18" customHeight="1" x14ac:dyDescent="0.2">
      <c r="A3" s="779">
        <v>1</v>
      </c>
      <c r="B3" s="780" t="s">
        <v>954</v>
      </c>
      <c r="C3" s="781" t="s">
        <v>851</v>
      </c>
      <c r="D3" s="781" t="s">
        <v>955</v>
      </c>
      <c r="E3" s="782" t="s">
        <v>956</v>
      </c>
      <c r="F3" s="783">
        <v>9617.9243000000006</v>
      </c>
      <c r="G3" s="783">
        <v>9860.8973900000001</v>
      </c>
      <c r="H3" s="784">
        <f>G3-F3</f>
        <v>242.9730899999995</v>
      </c>
      <c r="I3"/>
      <c r="J3"/>
    </row>
    <row r="4" spans="1:10" ht="18" customHeight="1" x14ac:dyDescent="0.2">
      <c r="A4" s="779">
        <v>1</v>
      </c>
      <c r="B4" s="780" t="s">
        <v>954</v>
      </c>
      <c r="C4" s="781" t="s">
        <v>836</v>
      </c>
      <c r="D4" s="781" t="s">
        <v>957</v>
      </c>
      <c r="E4" s="782" t="s">
        <v>958</v>
      </c>
      <c r="F4" s="783">
        <v>11070.54535</v>
      </c>
      <c r="G4" s="783">
        <v>11478.701060000001</v>
      </c>
      <c r="H4" s="784">
        <f t="shared" ref="H4:H21" si="0">G4-F4</f>
        <v>408.15571000000091</v>
      </c>
      <c r="I4"/>
      <c r="J4"/>
    </row>
    <row r="5" spans="1:10" ht="18" customHeight="1" x14ac:dyDescent="0.2">
      <c r="A5" s="779">
        <v>1</v>
      </c>
      <c r="B5" s="780" t="s">
        <v>954</v>
      </c>
      <c r="C5" s="781" t="s">
        <v>836</v>
      </c>
      <c r="D5" s="781" t="s">
        <v>959</v>
      </c>
      <c r="E5" s="785">
        <v>31813861</v>
      </c>
      <c r="F5" s="783">
        <v>55004.559229999999</v>
      </c>
      <c r="G5" s="783">
        <v>58734.413820000002</v>
      </c>
      <c r="H5" s="784">
        <f t="shared" si="0"/>
        <v>3729.8545900000026</v>
      </c>
      <c r="I5"/>
      <c r="J5"/>
    </row>
    <row r="6" spans="1:10" ht="18" customHeight="1" x14ac:dyDescent="0.2">
      <c r="A6" s="779">
        <v>1</v>
      </c>
      <c r="B6" s="780" t="s">
        <v>954</v>
      </c>
      <c r="C6" s="786" t="s">
        <v>866</v>
      </c>
      <c r="D6" s="781" t="s">
        <v>960</v>
      </c>
      <c r="E6" s="782" t="s">
        <v>961</v>
      </c>
      <c r="F6" s="783">
        <v>509.84621999999996</v>
      </c>
      <c r="G6" s="783">
        <v>479.03041999999999</v>
      </c>
      <c r="H6" s="784">
        <f t="shared" si="0"/>
        <v>-30.815799999999967</v>
      </c>
      <c r="I6"/>
      <c r="J6"/>
    </row>
    <row r="7" spans="1:10" ht="18" customHeight="1" x14ac:dyDescent="0.2">
      <c r="A7" s="779">
        <v>7</v>
      </c>
      <c r="B7" s="780" t="s">
        <v>954</v>
      </c>
      <c r="C7" s="786" t="s">
        <v>836</v>
      </c>
      <c r="D7" s="781" t="s">
        <v>962</v>
      </c>
      <c r="E7" s="782">
        <v>30853915</v>
      </c>
      <c r="F7" s="783">
        <v>1196.83959</v>
      </c>
      <c r="G7" s="783">
        <v>1301.04025</v>
      </c>
      <c r="H7" s="784">
        <f t="shared" si="0"/>
        <v>104.20065999999997</v>
      </c>
      <c r="I7"/>
      <c r="J7"/>
    </row>
    <row r="8" spans="1:10" ht="18" customHeight="1" x14ac:dyDescent="0.2">
      <c r="A8" s="779">
        <v>8</v>
      </c>
      <c r="B8" s="780" t="s">
        <v>963</v>
      </c>
      <c r="C8" s="786" t="s">
        <v>858</v>
      </c>
      <c r="D8" s="781" t="s">
        <v>964</v>
      </c>
      <c r="E8" s="782">
        <v>17335469</v>
      </c>
      <c r="F8" s="783">
        <v>1043.16821</v>
      </c>
      <c r="G8" s="783">
        <v>1041.4331</v>
      </c>
      <c r="H8" s="784">
        <f t="shared" si="0"/>
        <v>-1.735110000000077</v>
      </c>
      <c r="I8"/>
      <c r="J8"/>
    </row>
    <row r="9" spans="1:10" ht="18" customHeight="1" x14ac:dyDescent="0.2">
      <c r="A9" s="779">
        <v>8</v>
      </c>
      <c r="B9" s="780" t="s">
        <v>963</v>
      </c>
      <c r="C9" s="786" t="s">
        <v>864</v>
      </c>
      <c r="D9" s="781" t="s">
        <v>965</v>
      </c>
      <c r="E9" s="782" t="s">
        <v>966</v>
      </c>
      <c r="F9" s="783">
        <v>2349.3879300000003</v>
      </c>
      <c r="G9" s="783">
        <v>2349.3879300000003</v>
      </c>
      <c r="H9" s="784">
        <f t="shared" si="0"/>
        <v>0</v>
      </c>
      <c r="I9"/>
      <c r="J9"/>
    </row>
    <row r="10" spans="1:10" ht="18" customHeight="1" x14ac:dyDescent="0.2">
      <c r="A10" s="779">
        <v>8</v>
      </c>
      <c r="B10" s="780" t="s">
        <v>963</v>
      </c>
      <c r="C10" s="786" t="s">
        <v>842</v>
      </c>
      <c r="D10" s="781" t="s">
        <v>967</v>
      </c>
      <c r="E10" s="782">
        <v>44455356</v>
      </c>
      <c r="F10" s="783">
        <v>2901.2067000000002</v>
      </c>
      <c r="G10" s="783">
        <v>3034.48137</v>
      </c>
      <c r="H10" s="784">
        <f t="shared" si="0"/>
        <v>133.27466999999979</v>
      </c>
      <c r="I10"/>
      <c r="J10"/>
    </row>
    <row r="11" spans="1:10" ht="18" customHeight="1" x14ac:dyDescent="0.2">
      <c r="A11" s="779">
        <v>8</v>
      </c>
      <c r="B11" s="780" t="s">
        <v>963</v>
      </c>
      <c r="C11" s="786" t="s">
        <v>857</v>
      </c>
      <c r="D11" s="781" t="s">
        <v>968</v>
      </c>
      <c r="E11" s="782">
        <v>17336163</v>
      </c>
      <c r="F11" s="783">
        <v>3346.45685</v>
      </c>
      <c r="G11" s="783">
        <v>3370.5471699999998</v>
      </c>
      <c r="H11" s="784">
        <f t="shared" si="0"/>
        <v>24.090319999999792</v>
      </c>
      <c r="I11"/>
      <c r="J11"/>
    </row>
    <row r="12" spans="1:10" ht="18" customHeight="1" x14ac:dyDescent="0.2">
      <c r="A12" s="779">
        <v>8</v>
      </c>
      <c r="B12" s="780" t="s">
        <v>963</v>
      </c>
      <c r="C12" s="786" t="s">
        <v>840</v>
      </c>
      <c r="D12" s="781" t="s">
        <v>969</v>
      </c>
      <c r="E12" s="782" t="s">
        <v>970</v>
      </c>
      <c r="F12" s="783">
        <v>9744.7832200000012</v>
      </c>
      <c r="G12" s="783">
        <v>10095.233779999999</v>
      </c>
      <c r="H12" s="784">
        <f t="shared" si="0"/>
        <v>350.45055999999749</v>
      </c>
      <c r="I12"/>
      <c r="J12"/>
    </row>
    <row r="13" spans="1:10" ht="18" customHeight="1" x14ac:dyDescent="0.2">
      <c r="A13" s="779">
        <v>8</v>
      </c>
      <c r="B13" s="780" t="s">
        <v>963</v>
      </c>
      <c r="C13" s="781" t="s">
        <v>860</v>
      </c>
      <c r="D13" s="781" t="s">
        <v>971</v>
      </c>
      <c r="E13" s="785">
        <v>17335795</v>
      </c>
      <c r="F13" s="783">
        <v>9503.8381899999986</v>
      </c>
      <c r="G13" s="783">
        <v>9703.8381899999986</v>
      </c>
      <c r="H13" s="784">
        <f t="shared" si="0"/>
        <v>200</v>
      </c>
      <c r="I13"/>
      <c r="J13"/>
    </row>
    <row r="14" spans="1:10" ht="18" customHeight="1" x14ac:dyDescent="0.2">
      <c r="A14" s="787">
        <v>8</v>
      </c>
      <c r="B14" s="780" t="s">
        <v>963</v>
      </c>
      <c r="C14" s="781" t="s">
        <v>849</v>
      </c>
      <c r="D14" s="781" t="s">
        <v>972</v>
      </c>
      <c r="E14" s="782" t="s">
        <v>973</v>
      </c>
      <c r="F14" s="783">
        <v>4166.6922400000003</v>
      </c>
      <c r="G14" s="783">
        <v>4234.1140800000003</v>
      </c>
      <c r="H14" s="784">
        <f t="shared" si="0"/>
        <v>67.421839999999975</v>
      </c>
      <c r="I14"/>
      <c r="J14"/>
    </row>
    <row r="15" spans="1:10" ht="18" customHeight="1" x14ac:dyDescent="0.2">
      <c r="A15" s="787">
        <v>10</v>
      </c>
      <c r="B15" s="780" t="s">
        <v>963</v>
      </c>
      <c r="C15" s="781" t="s">
        <v>852</v>
      </c>
      <c r="D15" s="781" t="s">
        <v>974</v>
      </c>
      <c r="E15" s="782">
        <v>17336015</v>
      </c>
      <c r="F15" s="783">
        <v>199.20795000000001</v>
      </c>
      <c r="G15" s="783">
        <v>216.55856</v>
      </c>
      <c r="H15" s="784">
        <f t="shared" si="0"/>
        <v>17.350609999999989</v>
      </c>
      <c r="I15"/>
      <c r="J15"/>
    </row>
    <row r="16" spans="1:10" ht="18" customHeight="1" x14ac:dyDescent="0.2">
      <c r="A16" s="779">
        <v>11</v>
      </c>
      <c r="B16" s="780" t="s">
        <v>963</v>
      </c>
      <c r="C16" s="781" t="s">
        <v>844</v>
      </c>
      <c r="D16" s="781" t="s">
        <v>975</v>
      </c>
      <c r="E16" s="785">
        <v>36167991</v>
      </c>
      <c r="F16" s="783">
        <v>154.25027</v>
      </c>
      <c r="G16" s="783">
        <v>144.86579999999998</v>
      </c>
      <c r="H16" s="784">
        <f t="shared" si="0"/>
        <v>-9.3844700000000216</v>
      </c>
      <c r="I16"/>
      <c r="J16"/>
    </row>
    <row r="17" spans="1:10" ht="18" customHeight="1" x14ac:dyDescent="0.2">
      <c r="A17" s="779">
        <v>11</v>
      </c>
      <c r="B17" s="780" t="s">
        <v>963</v>
      </c>
      <c r="C17" s="781" t="s">
        <v>840</v>
      </c>
      <c r="D17" s="781" t="s">
        <v>976</v>
      </c>
      <c r="E17" s="785" t="s">
        <v>977</v>
      </c>
      <c r="F17" s="783">
        <v>2699.6061299999997</v>
      </c>
      <c r="G17" s="783">
        <v>2783.14842</v>
      </c>
      <c r="H17" s="784">
        <f t="shared" si="0"/>
        <v>83.542290000000321</v>
      </c>
      <c r="I17"/>
      <c r="J17"/>
    </row>
    <row r="18" spans="1:10" ht="18" customHeight="1" x14ac:dyDescent="0.2">
      <c r="A18" s="779">
        <v>11</v>
      </c>
      <c r="B18" s="780" t="s">
        <v>963</v>
      </c>
      <c r="C18" s="781" t="s">
        <v>853</v>
      </c>
      <c r="D18" s="781" t="s">
        <v>978</v>
      </c>
      <c r="E18" s="785">
        <v>36119369</v>
      </c>
      <c r="F18" s="783">
        <v>194.61891</v>
      </c>
      <c r="G18" s="783">
        <v>127.00766</v>
      </c>
      <c r="H18" s="784">
        <f t="shared" si="0"/>
        <v>-67.611249999999998</v>
      </c>
      <c r="I18"/>
      <c r="J18"/>
    </row>
    <row r="19" spans="1:10" ht="18" customHeight="1" x14ac:dyDescent="0.2">
      <c r="A19" s="779">
        <v>11</v>
      </c>
      <c r="B19" s="780" t="s">
        <v>963</v>
      </c>
      <c r="C19" s="781" t="s">
        <v>866</v>
      </c>
      <c r="D19" s="781" t="s">
        <v>979</v>
      </c>
      <c r="E19" s="785">
        <v>36084221</v>
      </c>
      <c r="F19" s="783">
        <v>678.38621000000001</v>
      </c>
      <c r="G19" s="783">
        <v>782.66674</v>
      </c>
      <c r="H19" s="784">
        <f t="shared" si="0"/>
        <v>104.28053</v>
      </c>
      <c r="I19"/>
      <c r="J19"/>
    </row>
    <row r="20" spans="1:10" ht="18" customHeight="1" x14ac:dyDescent="0.2">
      <c r="A20" s="779">
        <v>11</v>
      </c>
      <c r="B20" s="780" t="s">
        <v>963</v>
      </c>
      <c r="C20" s="781" t="s">
        <v>848</v>
      </c>
      <c r="D20" s="781" t="s">
        <v>980</v>
      </c>
      <c r="E20" s="785">
        <v>31908977</v>
      </c>
      <c r="F20" s="783">
        <v>496.86795000000001</v>
      </c>
      <c r="G20" s="783">
        <v>483.28679</v>
      </c>
      <c r="H20" s="784">
        <f t="shared" si="0"/>
        <v>-13.581160000000011</v>
      </c>
      <c r="I20"/>
      <c r="J20"/>
    </row>
    <row r="21" spans="1:10" ht="18" customHeight="1" thickBot="1" x14ac:dyDescent="0.25">
      <c r="A21" s="787">
        <v>12</v>
      </c>
      <c r="B21" s="780" t="s">
        <v>963</v>
      </c>
      <c r="C21" s="786" t="s">
        <v>847</v>
      </c>
      <c r="D21" s="781" t="s">
        <v>981</v>
      </c>
      <c r="E21" s="782">
        <v>37954032</v>
      </c>
      <c r="F21" s="783">
        <v>106.78213000000001</v>
      </c>
      <c r="G21" s="783">
        <v>63.57094</v>
      </c>
      <c r="H21" s="784">
        <f t="shared" si="0"/>
        <v>-43.211190000000009</v>
      </c>
      <c r="I21"/>
      <c r="J21"/>
    </row>
    <row r="22" spans="1:10" ht="17.25" customHeight="1" thickBot="1" x14ac:dyDescent="0.25">
      <c r="A22" s="788" t="s">
        <v>4</v>
      </c>
      <c r="B22" s="789"/>
      <c r="C22" s="789"/>
      <c r="D22" s="789"/>
      <c r="E22" s="789"/>
      <c r="F22" s="790">
        <f>SUM(F3:F21)</f>
        <v>114984.96758000001</v>
      </c>
      <c r="G22" s="791">
        <f>SUM(G3:G21)</f>
        <v>120284.22347</v>
      </c>
      <c r="H22" s="791">
        <f>SUM(H3:H21)</f>
        <v>5299.2558900000022</v>
      </c>
      <c r="I22"/>
      <c r="J22"/>
    </row>
    <row r="23" spans="1:10" s="794" customFormat="1" ht="18" customHeight="1" x14ac:dyDescent="0.2">
      <c r="A23" s="792"/>
      <c r="B23" s="792"/>
      <c r="C23" s="792"/>
      <c r="D23" s="792"/>
      <c r="E23" s="792"/>
      <c r="F23" s="793"/>
      <c r="G23" s="793"/>
      <c r="H23" s="793"/>
      <c r="I23" s="771"/>
      <c r="J23" s="771"/>
    </row>
    <row r="24" spans="1:10" s="539" customFormat="1" ht="14.25" x14ac:dyDescent="0.2">
      <c r="A24" s="795" t="s">
        <v>947</v>
      </c>
      <c r="B24" s="796"/>
      <c r="C24" s="796"/>
      <c r="D24" s="796"/>
      <c r="E24" s="796"/>
      <c r="F24" s="797"/>
      <c r="G24" s="797"/>
      <c r="H24" s="797"/>
    </row>
    <row r="25" spans="1:10" s="794" customFormat="1" ht="12.75" customHeight="1" x14ac:dyDescent="0.2">
      <c r="A25" s="798">
        <v>1</v>
      </c>
      <c r="B25" s="799" t="s">
        <v>982</v>
      </c>
      <c r="C25" s="799"/>
      <c r="D25" s="799"/>
      <c r="F25" s="795"/>
    </row>
    <row r="26" spans="1:10" s="794" customFormat="1" ht="12.75" customHeight="1" x14ac:dyDescent="0.2">
      <c r="A26" s="798">
        <v>2</v>
      </c>
      <c r="B26" s="799" t="s">
        <v>983</v>
      </c>
      <c r="C26" s="799"/>
      <c r="D26" s="799"/>
      <c r="F26" s="800"/>
    </row>
    <row r="27" spans="1:10" s="794" customFormat="1" ht="12.75" customHeight="1" x14ac:dyDescent="0.2">
      <c r="A27" s="798">
        <v>3</v>
      </c>
      <c r="B27" s="801" t="s">
        <v>984</v>
      </c>
      <c r="C27" s="801"/>
      <c r="D27" s="801"/>
      <c r="F27" s="800"/>
    </row>
    <row r="28" spans="1:10" s="794" customFormat="1" ht="12.75" customHeight="1" x14ac:dyDescent="0.2">
      <c r="A28" s="798">
        <v>4</v>
      </c>
      <c r="B28" s="801" t="s">
        <v>985</v>
      </c>
      <c r="C28" s="801"/>
      <c r="D28" s="801"/>
    </row>
    <row r="29" spans="1:10" s="794" customFormat="1" ht="12.75" customHeight="1" x14ac:dyDescent="0.2">
      <c r="A29" s="798">
        <v>5</v>
      </c>
      <c r="B29" s="801" t="s">
        <v>986</v>
      </c>
      <c r="C29" s="801"/>
      <c r="D29" s="801"/>
    </row>
    <row r="30" spans="1:10" s="794" customFormat="1" ht="12.75" customHeight="1" x14ac:dyDescent="0.2">
      <c r="A30" s="798">
        <v>6</v>
      </c>
      <c r="B30" s="801" t="s">
        <v>987</v>
      </c>
      <c r="C30" s="801"/>
      <c r="D30" s="801"/>
    </row>
    <row r="31" spans="1:10" s="794" customFormat="1" ht="12.75" customHeight="1" x14ac:dyDescent="0.2">
      <c r="A31" s="798">
        <v>7</v>
      </c>
      <c r="B31" s="801" t="s">
        <v>988</v>
      </c>
      <c r="C31" s="801"/>
      <c r="D31" s="801"/>
      <c r="E31" s="802"/>
    </row>
    <row r="32" spans="1:10" s="794" customFormat="1" ht="12.75" customHeight="1" x14ac:dyDescent="0.2">
      <c r="A32" s="798">
        <v>8</v>
      </c>
      <c r="B32" s="801" t="s">
        <v>989</v>
      </c>
      <c r="C32" s="801"/>
      <c r="D32" s="801"/>
      <c r="E32" s="802"/>
    </row>
    <row r="33" spans="1:6" s="794" customFormat="1" ht="12.75" customHeight="1" x14ac:dyDescent="0.2">
      <c r="A33" s="798">
        <v>9</v>
      </c>
      <c r="B33" s="801" t="s">
        <v>990</v>
      </c>
      <c r="C33" s="801"/>
      <c r="D33" s="801"/>
      <c r="E33" s="803"/>
      <c r="F33" s="804"/>
    </row>
    <row r="34" spans="1:6" s="794" customFormat="1" ht="12.75" customHeight="1" x14ac:dyDescent="0.2">
      <c r="A34" s="798">
        <v>10</v>
      </c>
      <c r="B34" s="801" t="s">
        <v>991</v>
      </c>
      <c r="C34" s="801"/>
      <c r="D34" s="801"/>
      <c r="E34" s="802"/>
    </row>
    <row r="35" spans="1:6" s="794" customFormat="1" ht="12.75" customHeight="1" x14ac:dyDescent="0.2">
      <c r="A35" s="798">
        <v>11</v>
      </c>
      <c r="B35" s="801" t="s">
        <v>992</v>
      </c>
      <c r="C35" s="801"/>
      <c r="D35" s="801"/>
      <c r="E35" s="802"/>
    </row>
    <row r="36" spans="1:6" s="794" customFormat="1" ht="12.75" customHeight="1" x14ac:dyDescent="0.2">
      <c r="A36" s="798">
        <v>12</v>
      </c>
      <c r="B36" s="801" t="s">
        <v>993</v>
      </c>
      <c r="C36" s="801"/>
      <c r="D36" s="801"/>
      <c r="E36" s="805"/>
    </row>
    <row r="37" spans="1:6" s="794" customFormat="1" ht="12.75" customHeight="1" x14ac:dyDescent="0.2">
      <c r="A37" s="806">
        <v>13</v>
      </c>
      <c r="B37" s="801" t="s">
        <v>994</v>
      </c>
      <c r="C37" s="801"/>
      <c r="D37" s="801"/>
      <c r="E37" s="805"/>
    </row>
    <row r="38" spans="1:6" s="794" customFormat="1" ht="9.75" customHeight="1" x14ac:dyDescent="0.2">
      <c r="E38" s="805"/>
    </row>
    <row r="39" spans="1:6" s="794" customFormat="1" ht="14.25" x14ac:dyDescent="0.2">
      <c r="A39" s="807" t="s">
        <v>948</v>
      </c>
      <c r="B39" s="808"/>
      <c r="E39" s="805"/>
    </row>
    <row r="40" spans="1:6" s="794" customFormat="1" ht="12.75" customHeight="1" x14ac:dyDescent="0.2">
      <c r="A40" s="798" t="s">
        <v>954</v>
      </c>
      <c r="B40" s="801" t="s">
        <v>995</v>
      </c>
      <c r="C40" s="801"/>
      <c r="D40" s="801"/>
      <c r="E40" s="805"/>
    </row>
    <row r="41" spans="1:6" s="794" customFormat="1" ht="12.75" customHeight="1" x14ac:dyDescent="0.2">
      <c r="A41" s="798" t="s">
        <v>963</v>
      </c>
      <c r="B41" s="801" t="s">
        <v>996</v>
      </c>
      <c r="C41" s="801"/>
      <c r="D41" s="801"/>
    </row>
    <row r="42" spans="1:6" ht="14.25" x14ac:dyDescent="0.2"/>
  </sheetData>
  <mergeCells count="16">
    <mergeCell ref="B36:D36"/>
    <mergeCell ref="B37:D37"/>
    <mergeCell ref="B40:D40"/>
    <mergeCell ref="B41:D41"/>
    <mergeCell ref="B30:D30"/>
    <mergeCell ref="B31:D31"/>
    <mergeCell ref="B32:D32"/>
    <mergeCell ref="B33:D33"/>
    <mergeCell ref="B34:D34"/>
    <mergeCell ref="B35:D35"/>
    <mergeCell ref="A1:H1"/>
    <mergeCell ref="B25:D25"/>
    <mergeCell ref="B26:D26"/>
    <mergeCell ref="B27:D27"/>
    <mergeCell ref="B28:D28"/>
    <mergeCell ref="B29:D29"/>
  </mergeCells>
  <conditionalFormatting sqref="H23:H24">
    <cfRule type="cellIs" dxfId="1" priority="2" stopIfTrue="1" operator="lessThan">
      <formula>0</formula>
    </cfRule>
  </conditionalFormatting>
  <conditionalFormatting sqref="H3:H22">
    <cfRule type="cellIs" dxfId="0" priority="1" stopIfTrue="1" operator="lessThan">
      <formula>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6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2FED"/>
    <pageSetUpPr fitToPage="1"/>
  </sheetPr>
  <dimension ref="A1:S110"/>
  <sheetViews>
    <sheetView showGridLines="0" zoomScale="70" zoomScaleNormal="70" zoomScaleSheetLayoutView="75" workbookViewId="0">
      <pane xSplit="6" ySplit="5" topLeftCell="G6" activePane="bottomRight" state="frozen"/>
      <selection activeCell="C22" sqref="C22:H22"/>
      <selection pane="topRight" activeCell="C22" sqref="C22:H22"/>
      <selection pane="bottomLeft" activeCell="C22" sqref="C22:H22"/>
      <selection pane="bottomRight" activeCell="C22" sqref="C22:H22"/>
    </sheetView>
  </sheetViews>
  <sheetFormatPr defaultRowHeight="12.75" x14ac:dyDescent="0.2"/>
  <cols>
    <col min="1" max="1" width="17.28515625" style="499" customWidth="1"/>
    <col min="2" max="2" width="6.42578125" style="499" customWidth="1"/>
    <col min="3" max="3" width="7.7109375" style="499" customWidth="1"/>
    <col min="4" max="4" width="39.140625" style="499" customWidth="1"/>
    <col min="5" max="5" width="9.5703125" style="499" customWidth="1"/>
    <col min="6" max="6" width="14.28515625" style="921" customWidth="1"/>
    <col min="7" max="7" width="18.5703125" style="921" customWidth="1"/>
    <col min="8" max="8" width="16" style="499" customWidth="1"/>
    <col min="9" max="9" width="12.140625" style="915" customWidth="1"/>
    <col min="10" max="10" width="14.140625" style="915" customWidth="1"/>
    <col min="11" max="11" width="14.42578125" style="894" customWidth="1"/>
    <col min="12" max="12" width="16.140625" style="894" customWidth="1"/>
    <col min="13" max="13" width="13.28515625" style="894" customWidth="1"/>
    <col min="14" max="14" width="16.85546875" style="894" customWidth="1"/>
    <col min="15" max="15" width="17.7109375" style="894" customWidth="1"/>
    <col min="16" max="16" width="15.7109375" bestFit="1" customWidth="1"/>
    <col min="17" max="17" width="17.5703125" customWidth="1"/>
    <col min="18" max="18" width="13.42578125" customWidth="1"/>
    <col min="19" max="19" width="15.28515625" customWidth="1"/>
    <col min="20" max="16384" width="9.140625" style="894"/>
  </cols>
  <sheetData>
    <row r="1" spans="1:15" ht="25.5" customHeight="1" x14ac:dyDescent="0.2">
      <c r="A1" s="809" t="s">
        <v>997</v>
      </c>
      <c r="B1" s="809"/>
      <c r="C1" s="809"/>
      <c r="D1" s="809"/>
      <c r="E1" s="809"/>
      <c r="F1" s="809"/>
      <c r="G1" s="809"/>
      <c r="H1" s="809"/>
      <c r="I1" s="809"/>
      <c r="J1" s="809"/>
      <c r="K1" s="809"/>
      <c r="L1" s="809"/>
      <c r="M1" s="809"/>
      <c r="N1" s="809"/>
      <c r="O1" s="809"/>
    </row>
    <row r="2" spans="1:15" ht="15" customHeight="1" x14ac:dyDescent="0.25">
      <c r="A2" s="810" t="s">
        <v>830</v>
      </c>
      <c r="B2" s="811" t="s">
        <v>998</v>
      </c>
      <c r="C2" s="811" t="s">
        <v>999</v>
      </c>
      <c r="D2" s="811" t="s">
        <v>949</v>
      </c>
      <c r="E2" s="811" t="s">
        <v>950</v>
      </c>
      <c r="F2" s="811" t="s">
        <v>1000</v>
      </c>
      <c r="G2" s="812" t="s">
        <v>1001</v>
      </c>
      <c r="H2" s="811" t="s">
        <v>1002</v>
      </c>
      <c r="I2" s="811" t="s">
        <v>1003</v>
      </c>
      <c r="J2" s="811" t="s">
        <v>1004</v>
      </c>
      <c r="K2" s="813" t="s">
        <v>1005</v>
      </c>
      <c r="L2" s="814"/>
      <c r="M2" s="814"/>
      <c r="N2" s="815"/>
      <c r="O2" s="816" t="s">
        <v>1006</v>
      </c>
    </row>
    <row r="3" spans="1:15" ht="90" customHeight="1" x14ac:dyDescent="0.2">
      <c r="A3" s="817"/>
      <c r="B3" s="818"/>
      <c r="C3" s="818"/>
      <c r="D3" s="818"/>
      <c r="E3" s="818"/>
      <c r="F3" s="818"/>
      <c r="G3" s="819"/>
      <c r="H3" s="818"/>
      <c r="I3" s="818"/>
      <c r="J3" s="818"/>
      <c r="K3" s="820" t="s">
        <v>1007</v>
      </c>
      <c r="L3" s="821" t="s">
        <v>1008</v>
      </c>
      <c r="M3" s="821" t="s">
        <v>1009</v>
      </c>
      <c r="N3" s="821" t="s">
        <v>1010</v>
      </c>
      <c r="O3" s="822"/>
    </row>
    <row r="4" spans="1:15" s="828" customFormat="1" ht="25.5" x14ac:dyDescent="0.2">
      <c r="A4" s="781" t="s">
        <v>851</v>
      </c>
      <c r="B4" s="780">
        <v>1</v>
      </c>
      <c r="C4" s="780" t="s">
        <v>954</v>
      </c>
      <c r="D4" s="781" t="s">
        <v>955</v>
      </c>
      <c r="E4" s="823" t="s">
        <v>956</v>
      </c>
      <c r="F4" s="782" t="s">
        <v>1011</v>
      </c>
      <c r="G4" s="824">
        <v>9860.8973900000001</v>
      </c>
      <c r="H4" s="825"/>
      <c r="I4" s="786"/>
      <c r="J4" s="786"/>
      <c r="K4" s="826">
        <v>0</v>
      </c>
      <c r="L4" s="826">
        <v>4343.5600809931611</v>
      </c>
      <c r="M4" s="827">
        <v>39510</v>
      </c>
      <c r="N4" s="826">
        <v>996.54823076412401</v>
      </c>
      <c r="O4" s="826">
        <v>2200</v>
      </c>
    </row>
    <row r="5" spans="1:15" s="828" customFormat="1" ht="25.5" x14ac:dyDescent="0.2">
      <c r="A5" s="781" t="s">
        <v>868</v>
      </c>
      <c r="B5" s="780">
        <v>11</v>
      </c>
      <c r="C5" s="780" t="s">
        <v>963</v>
      </c>
      <c r="D5" s="781" t="s">
        <v>1012</v>
      </c>
      <c r="E5" s="829">
        <v>36167908</v>
      </c>
      <c r="F5" s="782" t="s">
        <v>1013</v>
      </c>
      <c r="G5" s="824">
        <v>0</v>
      </c>
      <c r="H5" s="825"/>
      <c r="I5" s="786"/>
      <c r="J5" s="786"/>
      <c r="K5" s="826">
        <v>48.962209999999999</v>
      </c>
      <c r="L5" s="826">
        <v>49.047249999999998</v>
      </c>
      <c r="M5" s="827">
        <v>39967</v>
      </c>
      <c r="N5" s="826">
        <v>0</v>
      </c>
      <c r="O5" s="826">
        <v>0</v>
      </c>
    </row>
    <row r="6" spans="1:15" s="828" customFormat="1" ht="25.5" x14ac:dyDescent="0.2">
      <c r="A6" s="781" t="s">
        <v>836</v>
      </c>
      <c r="B6" s="780">
        <v>1</v>
      </c>
      <c r="C6" s="780" t="s">
        <v>954</v>
      </c>
      <c r="D6" s="781" t="s">
        <v>957</v>
      </c>
      <c r="E6" s="823" t="s">
        <v>958</v>
      </c>
      <c r="F6" s="782" t="s">
        <v>1011</v>
      </c>
      <c r="G6" s="824">
        <v>11478.701060000001</v>
      </c>
      <c r="H6" s="830"/>
      <c r="I6" s="831"/>
      <c r="J6" s="830"/>
      <c r="K6" s="826">
        <v>478.75641999999999</v>
      </c>
      <c r="L6" s="826">
        <v>10363.452029999999</v>
      </c>
      <c r="M6" s="827">
        <v>39841</v>
      </c>
      <c r="N6" s="826">
        <v>8457.0058800000006</v>
      </c>
      <c r="O6" s="826">
        <v>1500</v>
      </c>
    </row>
    <row r="7" spans="1:15" s="828" customFormat="1" ht="17.25" customHeight="1" x14ac:dyDescent="0.2">
      <c r="A7" s="781" t="s">
        <v>836</v>
      </c>
      <c r="B7" s="780">
        <v>1</v>
      </c>
      <c r="C7" s="780" t="s">
        <v>954</v>
      </c>
      <c r="D7" s="781" t="s">
        <v>959</v>
      </c>
      <c r="E7" s="829">
        <v>31813861</v>
      </c>
      <c r="F7" s="782" t="s">
        <v>1011</v>
      </c>
      <c r="G7" s="824">
        <v>58734.413820000002</v>
      </c>
      <c r="H7" s="830"/>
      <c r="I7" s="831"/>
      <c r="J7" s="830"/>
      <c r="K7" s="826">
        <v>0</v>
      </c>
      <c r="L7" s="826">
        <v>0</v>
      </c>
      <c r="M7" s="786"/>
      <c r="N7" s="826">
        <v>0</v>
      </c>
      <c r="O7" s="826">
        <v>4200</v>
      </c>
    </row>
    <row r="8" spans="1:15" s="828" customFormat="1" ht="17.25" customHeight="1" x14ac:dyDescent="0.2">
      <c r="A8" s="781" t="s">
        <v>836</v>
      </c>
      <c r="B8" s="780">
        <v>7</v>
      </c>
      <c r="C8" s="780" t="s">
        <v>954</v>
      </c>
      <c r="D8" s="781" t="s">
        <v>962</v>
      </c>
      <c r="E8" s="829">
        <v>30853915</v>
      </c>
      <c r="F8" s="782" t="s">
        <v>1011</v>
      </c>
      <c r="G8" s="824">
        <v>1301.04025</v>
      </c>
      <c r="H8" s="830"/>
      <c r="I8" s="831"/>
      <c r="J8" s="830"/>
      <c r="K8" s="826">
        <v>0</v>
      </c>
      <c r="L8" s="826">
        <v>0</v>
      </c>
      <c r="M8" s="832"/>
      <c r="N8" s="826">
        <v>0</v>
      </c>
      <c r="O8" s="826">
        <v>650.79101000000003</v>
      </c>
    </row>
    <row r="9" spans="1:15" s="828" customFormat="1" ht="25.5" customHeight="1" x14ac:dyDescent="0.2">
      <c r="A9" s="781" t="s">
        <v>858</v>
      </c>
      <c r="B9" s="780">
        <v>8</v>
      </c>
      <c r="C9" s="780" t="s">
        <v>963</v>
      </c>
      <c r="D9" s="781" t="s">
        <v>964</v>
      </c>
      <c r="E9" s="829">
        <v>17335469</v>
      </c>
      <c r="F9" s="782" t="s">
        <v>1011</v>
      </c>
      <c r="G9" s="824">
        <v>1041.4331</v>
      </c>
      <c r="H9" s="830"/>
      <c r="I9" s="831"/>
      <c r="J9" s="830"/>
      <c r="K9" s="826">
        <v>0</v>
      </c>
      <c r="L9" s="826">
        <v>0</v>
      </c>
      <c r="M9" s="827">
        <v>40458</v>
      </c>
      <c r="N9" s="826">
        <v>7.6346000000000007</v>
      </c>
      <c r="O9" s="826">
        <v>0</v>
      </c>
    </row>
    <row r="10" spans="1:15" s="828" customFormat="1" ht="25.5" x14ac:dyDescent="0.2">
      <c r="A10" s="786" t="s">
        <v>864</v>
      </c>
      <c r="B10" s="830">
        <v>8</v>
      </c>
      <c r="C10" s="830" t="s">
        <v>963</v>
      </c>
      <c r="D10" s="781" t="s">
        <v>965</v>
      </c>
      <c r="E10" s="823" t="s">
        <v>966</v>
      </c>
      <c r="F10" s="782" t="s">
        <v>1013</v>
      </c>
      <c r="G10" s="824">
        <v>2349.3879300000003</v>
      </c>
      <c r="H10" s="830"/>
      <c r="I10" s="833"/>
      <c r="J10" s="834"/>
      <c r="K10" s="826">
        <v>6.7227600000000001</v>
      </c>
      <c r="L10" s="826">
        <v>6.7227600000000001</v>
      </c>
      <c r="M10" s="827">
        <v>40476</v>
      </c>
      <c r="N10" s="826">
        <v>0</v>
      </c>
      <c r="O10" s="826">
        <v>0</v>
      </c>
    </row>
    <row r="11" spans="1:15" s="828" customFormat="1" ht="28.5" customHeight="1" x14ac:dyDescent="0.2">
      <c r="A11" s="786" t="s">
        <v>864</v>
      </c>
      <c r="B11" s="830">
        <v>9</v>
      </c>
      <c r="C11" s="830" t="s">
        <v>963</v>
      </c>
      <c r="D11" s="781" t="s">
        <v>1014</v>
      </c>
      <c r="E11" s="823" t="s">
        <v>1015</v>
      </c>
      <c r="F11" s="782" t="s">
        <v>1013</v>
      </c>
      <c r="G11" s="824">
        <v>0</v>
      </c>
      <c r="H11" s="830"/>
      <c r="I11" s="833"/>
      <c r="J11" s="834"/>
      <c r="K11" s="826">
        <v>1.1126500000000001</v>
      </c>
      <c r="L11" s="826">
        <v>1.1126500000000001</v>
      </c>
      <c r="M11" s="833">
        <v>40476</v>
      </c>
      <c r="N11" s="826">
        <v>0</v>
      </c>
      <c r="O11" s="826">
        <v>0</v>
      </c>
    </row>
    <row r="12" spans="1:15" s="828" customFormat="1" ht="18" customHeight="1" x14ac:dyDescent="0.2">
      <c r="A12" s="786" t="s">
        <v>842</v>
      </c>
      <c r="B12" s="780">
        <v>8</v>
      </c>
      <c r="C12" s="780" t="s">
        <v>963</v>
      </c>
      <c r="D12" s="781" t="s">
        <v>1016</v>
      </c>
      <c r="E12" s="829">
        <v>17335965</v>
      </c>
      <c r="F12" s="782" t="s">
        <v>1017</v>
      </c>
      <c r="G12" s="824">
        <v>0</v>
      </c>
      <c r="H12" s="830"/>
      <c r="I12" s="833"/>
      <c r="J12" s="834"/>
      <c r="K12" s="826">
        <v>1107.7281499999999</v>
      </c>
      <c r="L12" s="826">
        <v>0</v>
      </c>
      <c r="M12" s="835"/>
      <c r="N12" s="826">
        <v>0</v>
      </c>
      <c r="O12" s="826">
        <v>0</v>
      </c>
    </row>
    <row r="13" spans="1:15" s="828" customFormat="1" ht="25.5" x14ac:dyDescent="0.2">
      <c r="A13" s="786" t="s">
        <v>842</v>
      </c>
      <c r="B13" s="780">
        <v>8</v>
      </c>
      <c r="C13" s="780" t="s">
        <v>963</v>
      </c>
      <c r="D13" s="781" t="s">
        <v>967</v>
      </c>
      <c r="E13" s="829">
        <v>44455356</v>
      </c>
      <c r="F13" s="780" t="s">
        <v>1011</v>
      </c>
      <c r="G13" s="824">
        <v>3034.48137</v>
      </c>
      <c r="H13" s="830"/>
      <c r="I13" s="833"/>
      <c r="J13" s="834"/>
      <c r="K13" s="826">
        <v>0</v>
      </c>
      <c r="L13" s="826">
        <v>0</v>
      </c>
      <c r="M13" s="835"/>
      <c r="N13" s="826">
        <v>0</v>
      </c>
      <c r="O13" s="826">
        <v>0</v>
      </c>
    </row>
    <row r="14" spans="1:15" s="828" customFormat="1" ht="25.5" x14ac:dyDescent="0.2">
      <c r="A14" s="781" t="s">
        <v>843</v>
      </c>
      <c r="B14" s="830">
        <v>8</v>
      </c>
      <c r="C14" s="830" t="s">
        <v>963</v>
      </c>
      <c r="D14" s="781" t="s">
        <v>1018</v>
      </c>
      <c r="E14" s="823" t="s">
        <v>1019</v>
      </c>
      <c r="F14" s="782" t="s">
        <v>1017</v>
      </c>
      <c r="G14" s="824">
        <v>0</v>
      </c>
      <c r="H14" s="830"/>
      <c r="I14" s="831"/>
      <c r="J14" s="834"/>
      <c r="K14" s="826">
        <v>0</v>
      </c>
      <c r="L14" s="826">
        <v>0</v>
      </c>
      <c r="M14" s="786"/>
      <c r="N14" s="826">
        <v>0</v>
      </c>
      <c r="O14" s="826">
        <v>0</v>
      </c>
    </row>
    <row r="15" spans="1:15" s="828" customFormat="1" ht="29.25" customHeight="1" x14ac:dyDescent="0.2">
      <c r="A15" s="781" t="s">
        <v>855</v>
      </c>
      <c r="B15" s="830">
        <v>8</v>
      </c>
      <c r="C15" s="830" t="s">
        <v>963</v>
      </c>
      <c r="D15" s="781" t="s">
        <v>1020</v>
      </c>
      <c r="E15" s="823" t="s">
        <v>1021</v>
      </c>
      <c r="F15" s="782" t="s">
        <v>1017</v>
      </c>
      <c r="G15" s="824">
        <v>0</v>
      </c>
      <c r="H15" s="830" t="s">
        <v>182</v>
      </c>
      <c r="I15" s="831"/>
      <c r="J15" s="834"/>
      <c r="K15" s="826">
        <v>92.575179999999989</v>
      </c>
      <c r="L15" s="826">
        <v>232.65982</v>
      </c>
      <c r="M15" s="827">
        <v>39748</v>
      </c>
      <c r="N15" s="826">
        <v>219.07986</v>
      </c>
      <c r="O15" s="826">
        <v>0</v>
      </c>
    </row>
    <row r="16" spans="1:15" s="828" customFormat="1" ht="17.25" customHeight="1" x14ac:dyDescent="0.2">
      <c r="A16" s="786" t="s">
        <v>841</v>
      </c>
      <c r="B16" s="830">
        <v>10</v>
      </c>
      <c r="C16" s="830" t="s">
        <v>963</v>
      </c>
      <c r="D16" s="836" t="s">
        <v>1022</v>
      </c>
      <c r="E16" s="823" t="s">
        <v>1023</v>
      </c>
      <c r="F16" s="782" t="s">
        <v>1017</v>
      </c>
      <c r="G16" s="824">
        <v>0</v>
      </c>
      <c r="H16" s="837"/>
      <c r="I16" s="838"/>
      <c r="J16" s="838"/>
      <c r="K16" s="826">
        <v>3.4605399999999999</v>
      </c>
      <c r="L16" s="826">
        <v>2.9765600000000001</v>
      </c>
      <c r="M16" s="827">
        <v>39903</v>
      </c>
      <c r="N16" s="826">
        <v>9.5355499999999989</v>
      </c>
      <c r="O16" s="826">
        <v>0</v>
      </c>
    </row>
    <row r="17" spans="1:15" s="828" customFormat="1" ht="17.25" customHeight="1" x14ac:dyDescent="0.2">
      <c r="A17" s="786" t="s">
        <v>854</v>
      </c>
      <c r="B17" s="780">
        <v>1</v>
      </c>
      <c r="C17" s="780" t="s">
        <v>954</v>
      </c>
      <c r="D17" s="836" t="s">
        <v>1024</v>
      </c>
      <c r="E17" s="823" t="s">
        <v>1025</v>
      </c>
      <c r="F17" s="782" t="s">
        <v>1013</v>
      </c>
      <c r="G17" s="824">
        <v>0</v>
      </c>
      <c r="H17" s="786"/>
      <c r="I17" s="786"/>
      <c r="J17" s="786"/>
      <c r="K17" s="826">
        <v>216.92169000000001</v>
      </c>
      <c r="L17" s="826">
        <v>216.92169000000001</v>
      </c>
      <c r="M17" s="839">
        <v>39538</v>
      </c>
      <c r="N17" s="826">
        <v>413.98602</v>
      </c>
      <c r="O17" s="826">
        <v>0</v>
      </c>
    </row>
    <row r="18" spans="1:15" s="840" customFormat="1" ht="17.25" customHeight="1" x14ac:dyDescent="0.2">
      <c r="A18" s="786" t="s">
        <v>854</v>
      </c>
      <c r="B18" s="780">
        <v>7</v>
      </c>
      <c r="C18" s="780" t="s">
        <v>954</v>
      </c>
      <c r="D18" s="836" t="s">
        <v>1026</v>
      </c>
      <c r="E18" s="823" t="s">
        <v>1027</v>
      </c>
      <c r="F18" s="782" t="s">
        <v>1013</v>
      </c>
      <c r="G18" s="824">
        <v>0</v>
      </c>
      <c r="H18" s="786"/>
      <c r="I18" s="786"/>
      <c r="J18" s="786"/>
      <c r="K18" s="826">
        <v>7.9579999999999998E-2</v>
      </c>
      <c r="L18" s="826">
        <v>7.9579999999999998E-2</v>
      </c>
      <c r="M18" s="839">
        <v>40226</v>
      </c>
      <c r="N18" s="826">
        <v>0</v>
      </c>
      <c r="O18" s="826">
        <v>0</v>
      </c>
    </row>
    <row r="19" spans="1:15" s="828" customFormat="1" ht="17.25" customHeight="1" x14ac:dyDescent="0.2">
      <c r="A19" s="841" t="s">
        <v>839</v>
      </c>
      <c r="B19" s="842">
        <v>10</v>
      </c>
      <c r="C19" s="842" t="s">
        <v>963</v>
      </c>
      <c r="D19" s="843" t="s">
        <v>1028</v>
      </c>
      <c r="E19" s="844" t="s">
        <v>1029</v>
      </c>
      <c r="F19" s="845" t="s">
        <v>1017</v>
      </c>
      <c r="G19" s="824">
        <v>0</v>
      </c>
      <c r="H19" s="842"/>
      <c r="I19" s="842"/>
      <c r="J19" s="842"/>
      <c r="K19" s="826">
        <v>50.36262696673969</v>
      </c>
      <c r="L19" s="826">
        <v>109.20100577574189</v>
      </c>
      <c r="M19" s="827">
        <v>39643</v>
      </c>
      <c r="N19" s="826">
        <v>2.9077872933678549E-2</v>
      </c>
      <c r="O19" s="826">
        <v>0</v>
      </c>
    </row>
    <row r="20" spans="1:15" s="828" customFormat="1" ht="25.5" x14ac:dyDescent="0.2">
      <c r="A20" s="843" t="s">
        <v>839</v>
      </c>
      <c r="B20" s="842">
        <v>10</v>
      </c>
      <c r="C20" s="842" t="s">
        <v>963</v>
      </c>
      <c r="D20" s="843" t="s">
        <v>1030</v>
      </c>
      <c r="E20" s="844" t="s">
        <v>1031</v>
      </c>
      <c r="F20" s="845" t="s">
        <v>1017</v>
      </c>
      <c r="G20" s="824">
        <v>0</v>
      </c>
      <c r="H20" s="842"/>
      <c r="I20" s="842"/>
      <c r="J20" s="842"/>
      <c r="K20" s="826">
        <v>7.2512115780389019E-2</v>
      </c>
      <c r="L20" s="826">
        <v>0</v>
      </c>
      <c r="M20" s="827">
        <v>39722</v>
      </c>
      <c r="N20" s="826">
        <v>0.13602867954590719</v>
      </c>
      <c r="O20" s="826">
        <v>0</v>
      </c>
    </row>
    <row r="21" spans="1:15" s="828" customFormat="1" ht="28.5" customHeight="1" x14ac:dyDescent="0.2">
      <c r="A21" s="843" t="s">
        <v>839</v>
      </c>
      <c r="B21" s="842">
        <v>4</v>
      </c>
      <c r="C21" s="842" t="s">
        <v>954</v>
      </c>
      <c r="D21" s="843" t="s">
        <v>1032</v>
      </c>
      <c r="E21" s="844" t="s">
        <v>1033</v>
      </c>
      <c r="F21" s="845" t="s">
        <v>1013</v>
      </c>
      <c r="G21" s="824">
        <v>0</v>
      </c>
      <c r="H21" s="842"/>
      <c r="I21" s="842"/>
      <c r="J21" s="842"/>
      <c r="K21" s="826">
        <v>49.088246033326691</v>
      </c>
      <c r="L21" s="826">
        <v>49.088246033326691</v>
      </c>
      <c r="M21" s="827">
        <v>39722</v>
      </c>
      <c r="N21" s="826">
        <v>0.22239925645621722</v>
      </c>
      <c r="O21" s="826">
        <v>0</v>
      </c>
    </row>
    <row r="22" spans="1:15" s="828" customFormat="1" ht="25.5" x14ac:dyDescent="0.2">
      <c r="A22" s="786" t="s">
        <v>857</v>
      </c>
      <c r="B22" s="780">
        <v>8</v>
      </c>
      <c r="C22" s="780" t="s">
        <v>963</v>
      </c>
      <c r="D22" s="781" t="s">
        <v>968</v>
      </c>
      <c r="E22" s="829">
        <v>17336163</v>
      </c>
      <c r="F22" s="782" t="s">
        <v>1011</v>
      </c>
      <c r="G22" s="824">
        <v>3370.5471699999998</v>
      </c>
      <c r="H22" s="846"/>
      <c r="I22" s="847"/>
      <c r="J22" s="848"/>
      <c r="K22" s="826">
        <v>0</v>
      </c>
      <c r="L22" s="826">
        <v>151.06071</v>
      </c>
      <c r="M22" s="847">
        <v>39673</v>
      </c>
      <c r="N22" s="826">
        <v>0</v>
      </c>
      <c r="O22" s="826">
        <v>0</v>
      </c>
    </row>
    <row r="23" spans="1:15" s="828" customFormat="1" ht="25.5" x14ac:dyDescent="0.2">
      <c r="A23" s="849" t="s">
        <v>845</v>
      </c>
      <c r="B23" s="846">
        <v>12</v>
      </c>
      <c r="C23" s="850" t="s">
        <v>963</v>
      </c>
      <c r="D23" s="849" t="s">
        <v>1034</v>
      </c>
      <c r="E23" s="841">
        <v>35581778</v>
      </c>
      <c r="F23" s="851" t="s">
        <v>1017</v>
      </c>
      <c r="G23" s="824">
        <v>0</v>
      </c>
      <c r="H23" s="830"/>
      <c r="I23" s="831"/>
      <c r="J23" s="834"/>
      <c r="K23" s="826">
        <v>3.0073400000000001</v>
      </c>
      <c r="L23" s="826">
        <v>2.8410900000000003</v>
      </c>
      <c r="M23" s="827">
        <v>40094</v>
      </c>
      <c r="N23" s="826">
        <v>322.86203</v>
      </c>
      <c r="O23" s="826">
        <v>0</v>
      </c>
    </row>
    <row r="24" spans="1:15" s="840" customFormat="1" ht="29.25" customHeight="1" x14ac:dyDescent="0.2">
      <c r="A24" s="849" t="s">
        <v>845</v>
      </c>
      <c r="B24" s="846">
        <v>11</v>
      </c>
      <c r="C24" s="850" t="s">
        <v>963</v>
      </c>
      <c r="D24" s="849" t="s">
        <v>1035</v>
      </c>
      <c r="E24" s="841">
        <v>35581000</v>
      </c>
      <c r="F24" s="851" t="s">
        <v>1013</v>
      </c>
      <c r="G24" s="824">
        <v>0</v>
      </c>
      <c r="H24" s="830"/>
      <c r="I24" s="831"/>
      <c r="J24" s="834"/>
      <c r="K24" s="826">
        <v>3.168E-2</v>
      </c>
      <c r="L24" s="826">
        <v>3.168E-2</v>
      </c>
      <c r="M24" s="827">
        <v>40078</v>
      </c>
      <c r="N24" s="826">
        <v>31.680250000000001</v>
      </c>
      <c r="O24" s="826">
        <v>0</v>
      </c>
    </row>
    <row r="25" spans="1:15" s="856" customFormat="1" ht="18" customHeight="1" x14ac:dyDescent="0.2">
      <c r="A25" s="849" t="s">
        <v>852</v>
      </c>
      <c r="B25" s="846">
        <v>1</v>
      </c>
      <c r="C25" s="850" t="s">
        <v>954</v>
      </c>
      <c r="D25" s="849" t="s">
        <v>1036</v>
      </c>
      <c r="E25" s="852">
        <v>17336007</v>
      </c>
      <c r="F25" s="851" t="s">
        <v>1013</v>
      </c>
      <c r="G25" s="824">
        <v>0</v>
      </c>
      <c r="H25" s="842"/>
      <c r="I25" s="853"/>
      <c r="J25" s="854"/>
      <c r="K25" s="826">
        <v>3.1660000000000001E-2</v>
      </c>
      <c r="L25" s="826">
        <v>3.1660000000000001E-2</v>
      </c>
      <c r="M25" s="855">
        <v>39846</v>
      </c>
      <c r="N25" s="826">
        <v>0</v>
      </c>
      <c r="O25" s="826">
        <v>0</v>
      </c>
    </row>
    <row r="26" spans="1:15" s="828" customFormat="1" ht="25.5" x14ac:dyDescent="0.2">
      <c r="A26" s="857" t="s">
        <v>852</v>
      </c>
      <c r="B26" s="846">
        <v>10</v>
      </c>
      <c r="C26" s="846" t="s">
        <v>963</v>
      </c>
      <c r="D26" s="857" t="s">
        <v>974</v>
      </c>
      <c r="E26" s="858">
        <v>17336015</v>
      </c>
      <c r="F26" s="846" t="s">
        <v>1037</v>
      </c>
      <c r="G26" s="824">
        <v>216.55856</v>
      </c>
      <c r="H26" s="857"/>
      <c r="I26" s="853"/>
      <c r="J26" s="854"/>
      <c r="K26" s="826">
        <v>2.2550000000000001E-2</v>
      </c>
      <c r="L26" s="826">
        <v>2.2550000000000001E-2</v>
      </c>
      <c r="M26" s="859">
        <v>39780</v>
      </c>
      <c r="N26" s="826">
        <v>0</v>
      </c>
      <c r="O26" s="826">
        <v>0</v>
      </c>
    </row>
    <row r="27" spans="1:15" s="828" customFormat="1" ht="30.75" customHeight="1" x14ac:dyDescent="0.2">
      <c r="A27" s="781" t="s">
        <v>838</v>
      </c>
      <c r="B27" s="780">
        <v>10</v>
      </c>
      <c r="C27" s="780" t="s">
        <v>963</v>
      </c>
      <c r="D27" s="781" t="s">
        <v>1038</v>
      </c>
      <c r="E27" s="860">
        <v>35606347</v>
      </c>
      <c r="F27" s="780" t="s">
        <v>1013</v>
      </c>
      <c r="G27" s="824">
        <v>0</v>
      </c>
      <c r="H27" s="830"/>
      <c r="I27" s="831"/>
      <c r="J27" s="834"/>
      <c r="K27" s="826">
        <v>8.1869999999999998E-2</v>
      </c>
      <c r="L27" s="826">
        <v>8.1869999999999998E-2</v>
      </c>
      <c r="M27" s="827">
        <v>39777</v>
      </c>
      <c r="N27" s="826">
        <v>0</v>
      </c>
      <c r="O27" s="826">
        <v>0</v>
      </c>
    </row>
    <row r="28" spans="1:15" s="840" customFormat="1" ht="22.5" customHeight="1" x14ac:dyDescent="0.2">
      <c r="A28" s="781" t="s">
        <v>838</v>
      </c>
      <c r="B28" s="780">
        <v>9</v>
      </c>
      <c r="C28" s="780" t="s">
        <v>963</v>
      </c>
      <c r="D28" s="781" t="s">
        <v>1039</v>
      </c>
      <c r="E28" s="860">
        <v>17336139</v>
      </c>
      <c r="F28" s="780" t="s">
        <v>1013</v>
      </c>
      <c r="G28" s="824">
        <v>0</v>
      </c>
      <c r="H28" s="830"/>
      <c r="I28" s="831"/>
      <c r="J28" s="834"/>
      <c r="K28" s="826">
        <v>0.22374000000000002</v>
      </c>
      <c r="L28" s="826">
        <v>0.22340000000000002</v>
      </c>
      <c r="M28" s="827">
        <v>39777</v>
      </c>
      <c r="N28" s="826">
        <v>0</v>
      </c>
      <c r="O28" s="826">
        <v>0</v>
      </c>
    </row>
    <row r="29" spans="1:15" s="863" customFormat="1" ht="22.5" customHeight="1" x14ac:dyDescent="0.2">
      <c r="A29" s="781" t="s">
        <v>844</v>
      </c>
      <c r="B29" s="780">
        <v>11</v>
      </c>
      <c r="C29" s="780" t="s">
        <v>963</v>
      </c>
      <c r="D29" s="781" t="s">
        <v>975</v>
      </c>
      <c r="E29" s="861">
        <v>36167991</v>
      </c>
      <c r="F29" s="862" t="s">
        <v>1037</v>
      </c>
      <c r="G29" s="824">
        <v>144.86579999999998</v>
      </c>
      <c r="H29" s="830"/>
      <c r="I29" s="831"/>
      <c r="J29" s="834"/>
      <c r="K29" s="826">
        <v>4.0400000000000002E-3</v>
      </c>
      <c r="L29" s="826">
        <v>4.0400000000000002E-3</v>
      </c>
      <c r="M29" s="827">
        <v>40150</v>
      </c>
      <c r="N29" s="826">
        <v>0</v>
      </c>
      <c r="O29" s="826">
        <v>0</v>
      </c>
    </row>
    <row r="30" spans="1:15" s="865" customFormat="1" ht="25.5" x14ac:dyDescent="0.2">
      <c r="A30" s="786" t="s">
        <v>840</v>
      </c>
      <c r="B30" s="780">
        <v>8</v>
      </c>
      <c r="C30" s="780" t="s">
        <v>963</v>
      </c>
      <c r="D30" s="781" t="s">
        <v>969</v>
      </c>
      <c r="E30" s="823" t="s">
        <v>970</v>
      </c>
      <c r="F30" s="782" t="s">
        <v>1011</v>
      </c>
      <c r="G30" s="824">
        <v>10095.233779999999</v>
      </c>
      <c r="H30" s="830"/>
      <c r="I30" s="833"/>
      <c r="J30" s="864"/>
      <c r="K30" s="826">
        <v>0</v>
      </c>
      <c r="L30" s="826">
        <v>0</v>
      </c>
      <c r="M30" s="786"/>
      <c r="N30" s="826">
        <v>0</v>
      </c>
      <c r="O30" s="826">
        <v>0</v>
      </c>
    </row>
    <row r="31" spans="1:15" s="865" customFormat="1" ht="25.5" x14ac:dyDescent="0.2">
      <c r="A31" s="786" t="s">
        <v>840</v>
      </c>
      <c r="B31" s="780">
        <v>11</v>
      </c>
      <c r="C31" s="780" t="s">
        <v>963</v>
      </c>
      <c r="D31" s="781" t="s">
        <v>976</v>
      </c>
      <c r="E31" s="823" t="s">
        <v>977</v>
      </c>
      <c r="F31" s="782" t="s">
        <v>1011</v>
      </c>
      <c r="G31" s="824">
        <v>2783.14842</v>
      </c>
      <c r="H31" s="830" t="s">
        <v>1040</v>
      </c>
      <c r="I31" s="833">
        <v>40709</v>
      </c>
      <c r="J31" s="864">
        <v>953.44416000000001</v>
      </c>
      <c r="K31" s="826">
        <v>47.860849999999999</v>
      </c>
      <c r="L31" s="826">
        <v>47.860849999999999</v>
      </c>
      <c r="M31" s="866">
        <v>40886</v>
      </c>
      <c r="N31" s="826">
        <v>0</v>
      </c>
      <c r="O31" s="826">
        <v>0</v>
      </c>
    </row>
    <row r="32" spans="1:15" s="865" customFormat="1" ht="25.5" x14ac:dyDescent="0.2">
      <c r="A32" s="781" t="s">
        <v>860</v>
      </c>
      <c r="B32" s="830">
        <v>8</v>
      </c>
      <c r="C32" s="830" t="s">
        <v>963</v>
      </c>
      <c r="D32" s="836" t="s">
        <v>971</v>
      </c>
      <c r="E32" s="829">
        <v>17335795</v>
      </c>
      <c r="F32" s="782" t="s">
        <v>1011</v>
      </c>
      <c r="G32" s="824">
        <v>9703.8381899999986</v>
      </c>
      <c r="H32" s="830"/>
      <c r="I32" s="833"/>
      <c r="J32" s="864"/>
      <c r="K32" s="826">
        <v>2049.78755</v>
      </c>
      <c r="L32" s="826">
        <v>0</v>
      </c>
      <c r="M32" s="827">
        <v>40870</v>
      </c>
      <c r="N32" s="826">
        <v>0</v>
      </c>
      <c r="O32" s="826">
        <v>0</v>
      </c>
    </row>
    <row r="33" spans="1:15" s="828" customFormat="1" ht="27" customHeight="1" x14ac:dyDescent="0.2">
      <c r="A33" s="781" t="s">
        <v>871</v>
      </c>
      <c r="B33" s="780">
        <v>8</v>
      </c>
      <c r="C33" s="780" t="s">
        <v>963</v>
      </c>
      <c r="D33" s="836" t="s">
        <v>1041</v>
      </c>
      <c r="E33" s="823" t="s">
        <v>1042</v>
      </c>
      <c r="F33" s="782" t="s">
        <v>1017</v>
      </c>
      <c r="G33" s="824">
        <v>0</v>
      </c>
      <c r="H33" s="780"/>
      <c r="I33" s="860"/>
      <c r="J33" s="838"/>
      <c r="K33" s="826">
        <v>25.41001</v>
      </c>
      <c r="L33" s="826">
        <v>104.27731</v>
      </c>
      <c r="M33" s="827">
        <v>39534</v>
      </c>
      <c r="N33" s="826">
        <v>201.66673</v>
      </c>
      <c r="O33" s="826">
        <v>0</v>
      </c>
    </row>
    <row r="34" spans="1:15" s="828" customFormat="1" ht="20.25" customHeight="1" x14ac:dyDescent="0.2">
      <c r="A34" s="781" t="s">
        <v>871</v>
      </c>
      <c r="B34" s="780">
        <v>10</v>
      </c>
      <c r="C34" s="780" t="s">
        <v>963</v>
      </c>
      <c r="D34" s="781" t="s">
        <v>1043</v>
      </c>
      <c r="E34" s="823" t="s">
        <v>1044</v>
      </c>
      <c r="F34" s="780" t="s">
        <v>1017</v>
      </c>
      <c r="G34" s="824">
        <v>0</v>
      </c>
      <c r="H34" s="786"/>
      <c r="I34" s="786"/>
      <c r="J34" s="838"/>
      <c r="K34" s="826">
        <v>0</v>
      </c>
      <c r="L34" s="826">
        <v>0.28141000000000005</v>
      </c>
      <c r="M34" s="827">
        <v>40109</v>
      </c>
      <c r="N34" s="826">
        <v>0</v>
      </c>
      <c r="O34" s="826">
        <v>0</v>
      </c>
    </row>
    <row r="35" spans="1:15" s="840" customFormat="1" ht="25.5" x14ac:dyDescent="0.2">
      <c r="A35" s="781" t="s">
        <v>847</v>
      </c>
      <c r="B35" s="830">
        <v>8</v>
      </c>
      <c r="C35" s="830" t="s">
        <v>963</v>
      </c>
      <c r="D35" s="781" t="s">
        <v>1045</v>
      </c>
      <c r="E35" s="829">
        <v>36597341</v>
      </c>
      <c r="F35" s="782" t="s">
        <v>1013</v>
      </c>
      <c r="G35" s="824">
        <v>0</v>
      </c>
      <c r="H35" s="786"/>
      <c r="I35" s="860"/>
      <c r="J35" s="838"/>
      <c r="K35" s="826">
        <v>11.40123</v>
      </c>
      <c r="L35" s="826">
        <v>11.40123</v>
      </c>
      <c r="M35" s="827">
        <v>39562</v>
      </c>
      <c r="N35" s="826">
        <v>0</v>
      </c>
      <c r="O35" s="826">
        <v>0</v>
      </c>
    </row>
    <row r="36" spans="1:15" s="828" customFormat="1" ht="25.5" x14ac:dyDescent="0.2">
      <c r="A36" s="786" t="s">
        <v>847</v>
      </c>
      <c r="B36" s="780">
        <v>5</v>
      </c>
      <c r="C36" s="780" t="s">
        <v>954</v>
      </c>
      <c r="D36" s="781" t="s">
        <v>1046</v>
      </c>
      <c r="E36" s="860">
        <v>17335949</v>
      </c>
      <c r="F36" s="780" t="s">
        <v>1013</v>
      </c>
      <c r="G36" s="824">
        <v>0</v>
      </c>
      <c r="H36" s="786"/>
      <c r="I36" s="786"/>
      <c r="J36" s="786"/>
      <c r="K36" s="826">
        <v>69.743110000000001</v>
      </c>
      <c r="L36" s="826">
        <v>69.743110000000001</v>
      </c>
      <c r="M36" s="827">
        <v>39552</v>
      </c>
      <c r="N36" s="826">
        <v>174.61481000000001</v>
      </c>
      <c r="O36" s="826">
        <v>0</v>
      </c>
    </row>
    <row r="37" spans="1:15" s="828" customFormat="1" ht="25.5" customHeight="1" x14ac:dyDescent="0.2">
      <c r="A37" s="786" t="s">
        <v>847</v>
      </c>
      <c r="B37" s="780">
        <v>9</v>
      </c>
      <c r="C37" s="780" t="s">
        <v>963</v>
      </c>
      <c r="D37" s="781" t="s">
        <v>1047</v>
      </c>
      <c r="E37" s="823" t="s">
        <v>1048</v>
      </c>
      <c r="F37" s="782" t="s">
        <v>1017</v>
      </c>
      <c r="G37" s="824">
        <v>0</v>
      </c>
      <c r="H37" s="786"/>
      <c r="I37" s="786"/>
      <c r="J37" s="786"/>
      <c r="K37" s="826">
        <v>3.9029400000000001</v>
      </c>
      <c r="L37" s="826">
        <v>3.9029400000000001</v>
      </c>
      <c r="M37" s="827">
        <v>39583</v>
      </c>
      <c r="N37" s="826">
        <v>4.6100000000000002E-2</v>
      </c>
      <c r="O37" s="826">
        <v>0</v>
      </c>
    </row>
    <row r="38" spans="1:15" s="840" customFormat="1" ht="25.5" x14ac:dyDescent="0.2">
      <c r="A38" s="786" t="s">
        <v>847</v>
      </c>
      <c r="B38" s="780">
        <v>11</v>
      </c>
      <c r="C38" s="780" t="s">
        <v>963</v>
      </c>
      <c r="D38" s="781" t="s">
        <v>1049</v>
      </c>
      <c r="E38" s="823" t="s">
        <v>1050</v>
      </c>
      <c r="F38" s="782" t="s">
        <v>1013</v>
      </c>
      <c r="G38" s="824">
        <v>0</v>
      </c>
      <c r="H38" s="786"/>
      <c r="I38" s="786"/>
      <c r="J38" s="786"/>
      <c r="K38" s="826">
        <v>0</v>
      </c>
      <c r="L38" s="826">
        <v>5.6320600000000001</v>
      </c>
      <c r="M38" s="827">
        <v>39510</v>
      </c>
      <c r="N38" s="826">
        <v>0.11284999999999999</v>
      </c>
      <c r="O38" s="826">
        <v>0</v>
      </c>
    </row>
    <row r="39" spans="1:15" s="828" customFormat="1" ht="25.5" x14ac:dyDescent="0.2">
      <c r="A39" s="786" t="s">
        <v>847</v>
      </c>
      <c r="B39" s="867">
        <v>12</v>
      </c>
      <c r="C39" s="867" t="s">
        <v>963</v>
      </c>
      <c r="D39" s="868" t="s">
        <v>981</v>
      </c>
      <c r="E39" s="823">
        <v>37954032</v>
      </c>
      <c r="F39" s="782" t="s">
        <v>1017</v>
      </c>
      <c r="G39" s="824">
        <v>63.57094</v>
      </c>
      <c r="H39" s="786"/>
      <c r="I39" s="786"/>
      <c r="J39" s="786"/>
      <c r="K39" s="826">
        <v>1.304E-2</v>
      </c>
      <c r="L39" s="826">
        <v>1.304E-2</v>
      </c>
      <c r="M39" s="827">
        <v>39562</v>
      </c>
      <c r="N39" s="826">
        <v>0</v>
      </c>
      <c r="O39" s="826">
        <v>0</v>
      </c>
    </row>
    <row r="40" spans="1:15" s="828" customFormat="1" ht="18" customHeight="1" x14ac:dyDescent="0.2">
      <c r="A40" s="781" t="s">
        <v>849</v>
      </c>
      <c r="B40" s="780">
        <v>8</v>
      </c>
      <c r="C40" s="830" t="s">
        <v>963</v>
      </c>
      <c r="D40" s="781" t="s">
        <v>972</v>
      </c>
      <c r="E40" s="823" t="s">
        <v>973</v>
      </c>
      <c r="F40" s="782" t="s">
        <v>1011</v>
      </c>
      <c r="G40" s="824">
        <v>4234.1140800000003</v>
      </c>
      <c r="H40" s="830"/>
      <c r="I40" s="869"/>
      <c r="J40" s="838"/>
      <c r="K40" s="826">
        <v>0</v>
      </c>
      <c r="L40" s="826">
        <v>0</v>
      </c>
      <c r="M40" s="786"/>
      <c r="N40" s="826">
        <v>0</v>
      </c>
      <c r="O40" s="826">
        <v>0</v>
      </c>
    </row>
    <row r="41" spans="1:15" s="828" customFormat="1" ht="18" customHeight="1" x14ac:dyDescent="0.2">
      <c r="A41" s="786" t="s">
        <v>859</v>
      </c>
      <c r="B41" s="780">
        <v>8</v>
      </c>
      <c r="C41" s="780" t="s">
        <v>963</v>
      </c>
      <c r="D41" s="781" t="s">
        <v>1051</v>
      </c>
      <c r="E41" s="860" t="s">
        <v>1052</v>
      </c>
      <c r="F41" s="780" t="s">
        <v>1017</v>
      </c>
      <c r="G41" s="824">
        <v>0</v>
      </c>
      <c r="H41" s="830"/>
      <c r="I41" s="869"/>
      <c r="J41" s="870"/>
      <c r="K41" s="826">
        <v>166.82998000000001</v>
      </c>
      <c r="L41" s="826">
        <v>167.67281</v>
      </c>
      <c r="M41" s="827">
        <v>39700</v>
      </c>
      <c r="N41" s="826">
        <v>325.59449999999998</v>
      </c>
      <c r="O41" s="826">
        <v>0</v>
      </c>
    </row>
    <row r="42" spans="1:15" s="840" customFormat="1" ht="26.25" customHeight="1" x14ac:dyDescent="0.2">
      <c r="A42" s="786" t="s">
        <v>846</v>
      </c>
      <c r="B42" s="780">
        <v>12</v>
      </c>
      <c r="C42" s="780" t="s">
        <v>963</v>
      </c>
      <c r="D42" s="781" t="s">
        <v>1053</v>
      </c>
      <c r="E42" s="786">
        <v>37886851</v>
      </c>
      <c r="F42" s="780" t="s">
        <v>1013</v>
      </c>
      <c r="G42" s="824">
        <v>0</v>
      </c>
      <c r="H42" s="842"/>
      <c r="I42" s="871"/>
      <c r="J42" s="870"/>
      <c r="K42" s="826">
        <v>0.74702000000000002</v>
      </c>
      <c r="L42" s="826">
        <v>0.74702000000000002</v>
      </c>
      <c r="M42" s="827">
        <v>40168</v>
      </c>
      <c r="N42" s="826">
        <v>0</v>
      </c>
      <c r="O42" s="826">
        <v>0</v>
      </c>
    </row>
    <row r="43" spans="1:15" s="828" customFormat="1" x14ac:dyDescent="0.2">
      <c r="A43" s="781" t="s">
        <v>863</v>
      </c>
      <c r="B43" s="830">
        <v>8</v>
      </c>
      <c r="C43" s="830" t="s">
        <v>963</v>
      </c>
      <c r="D43" s="781" t="s">
        <v>1054</v>
      </c>
      <c r="E43" s="860">
        <v>17335396</v>
      </c>
      <c r="F43" s="780" t="s">
        <v>1017</v>
      </c>
      <c r="G43" s="824">
        <v>0</v>
      </c>
      <c r="H43" s="786"/>
      <c r="I43" s="860"/>
      <c r="J43" s="838"/>
      <c r="K43" s="826">
        <v>0</v>
      </c>
      <c r="L43" s="826">
        <v>380.71489000000003</v>
      </c>
      <c r="M43" s="827">
        <v>39563</v>
      </c>
      <c r="N43" s="826">
        <v>773.28695999999991</v>
      </c>
      <c r="O43" s="826">
        <v>0</v>
      </c>
    </row>
    <row r="44" spans="1:15" s="828" customFormat="1" ht="18" customHeight="1" x14ac:dyDescent="0.2">
      <c r="A44" s="786" t="s">
        <v>863</v>
      </c>
      <c r="B44" s="780">
        <v>8</v>
      </c>
      <c r="C44" s="780" t="s">
        <v>963</v>
      </c>
      <c r="D44" s="786" t="s">
        <v>1055</v>
      </c>
      <c r="E44" s="786">
        <v>36597376</v>
      </c>
      <c r="F44" s="780" t="s">
        <v>1013</v>
      </c>
      <c r="G44" s="824">
        <v>0</v>
      </c>
      <c r="H44" s="786"/>
      <c r="I44" s="860"/>
      <c r="J44" s="838"/>
      <c r="K44" s="826">
        <v>0.14152000000000001</v>
      </c>
      <c r="L44" s="826">
        <v>0.14152000000000001</v>
      </c>
      <c r="M44" s="827">
        <v>40190</v>
      </c>
      <c r="N44" s="826">
        <v>0.64344000000000001</v>
      </c>
      <c r="O44" s="826">
        <v>0</v>
      </c>
    </row>
    <row r="45" spans="1:15" s="828" customFormat="1" ht="18" customHeight="1" x14ac:dyDescent="0.2">
      <c r="A45" s="786" t="s">
        <v>853</v>
      </c>
      <c r="B45" s="780">
        <v>11</v>
      </c>
      <c r="C45" s="780" t="s">
        <v>963</v>
      </c>
      <c r="D45" s="781" t="s">
        <v>978</v>
      </c>
      <c r="E45" s="860">
        <v>36119369</v>
      </c>
      <c r="F45" s="782" t="s">
        <v>1037</v>
      </c>
      <c r="G45" s="824">
        <v>127.00766</v>
      </c>
      <c r="H45" s="780"/>
      <c r="I45" s="860"/>
      <c r="J45" s="838"/>
      <c r="K45" s="826">
        <v>0</v>
      </c>
      <c r="L45" s="826">
        <v>0</v>
      </c>
      <c r="M45" s="827"/>
      <c r="N45" s="826">
        <v>0</v>
      </c>
      <c r="O45" s="826">
        <v>0</v>
      </c>
    </row>
    <row r="46" spans="1:15" s="828" customFormat="1" ht="18" customHeight="1" x14ac:dyDescent="0.2">
      <c r="A46" s="786" t="s">
        <v>866</v>
      </c>
      <c r="B46" s="780">
        <v>1</v>
      </c>
      <c r="C46" s="780" t="s">
        <v>954</v>
      </c>
      <c r="D46" s="781" t="s">
        <v>960</v>
      </c>
      <c r="E46" s="823" t="s">
        <v>961</v>
      </c>
      <c r="F46" s="780" t="s">
        <v>1013</v>
      </c>
      <c r="G46" s="824">
        <v>479.03041999999999</v>
      </c>
      <c r="H46" s="780"/>
      <c r="I46" s="860"/>
      <c r="J46" s="838"/>
      <c r="K46" s="826">
        <v>0</v>
      </c>
      <c r="L46" s="826">
        <v>0</v>
      </c>
      <c r="M46" s="786"/>
      <c r="N46" s="826">
        <v>0</v>
      </c>
      <c r="O46" s="826">
        <v>1849.2421299999999</v>
      </c>
    </row>
    <row r="47" spans="1:15" s="828" customFormat="1" ht="18" customHeight="1" x14ac:dyDescent="0.2">
      <c r="A47" s="786" t="s">
        <v>866</v>
      </c>
      <c r="B47" s="780">
        <v>11</v>
      </c>
      <c r="C47" s="780" t="s">
        <v>963</v>
      </c>
      <c r="D47" s="781" t="s">
        <v>979</v>
      </c>
      <c r="E47" s="860">
        <v>36084221</v>
      </c>
      <c r="F47" s="782" t="s">
        <v>1037</v>
      </c>
      <c r="G47" s="824">
        <v>782.66674</v>
      </c>
      <c r="H47" s="780"/>
      <c r="I47" s="860"/>
      <c r="J47" s="838"/>
      <c r="K47" s="826">
        <v>33.752789999999997</v>
      </c>
      <c r="L47" s="826">
        <v>33.752789999999997</v>
      </c>
      <c r="M47" s="827">
        <v>40017</v>
      </c>
      <c r="N47" s="826">
        <v>0</v>
      </c>
      <c r="O47" s="826">
        <v>0</v>
      </c>
    </row>
    <row r="48" spans="1:15" s="840" customFormat="1" ht="28.5" customHeight="1" x14ac:dyDescent="0.2">
      <c r="A48" s="786" t="s">
        <v>848</v>
      </c>
      <c r="B48" s="780">
        <v>11</v>
      </c>
      <c r="C48" s="780" t="s">
        <v>963</v>
      </c>
      <c r="D48" s="781" t="s">
        <v>980</v>
      </c>
      <c r="E48" s="786">
        <v>31908977</v>
      </c>
      <c r="F48" s="780" t="s">
        <v>1013</v>
      </c>
      <c r="G48" s="824">
        <v>483.28679</v>
      </c>
      <c r="H48" s="780"/>
      <c r="I48" s="780"/>
      <c r="J48" s="872"/>
      <c r="K48" s="826">
        <v>1.6127499999999999</v>
      </c>
      <c r="L48" s="826">
        <v>1.6127499999999999</v>
      </c>
      <c r="M48" s="827">
        <v>39898</v>
      </c>
      <c r="N48" s="826">
        <v>55.077179999999998</v>
      </c>
      <c r="O48" s="826">
        <v>0</v>
      </c>
    </row>
    <row r="49" spans="1:19" s="840" customFormat="1" ht="25.5" x14ac:dyDescent="0.2">
      <c r="A49" s="836" t="s">
        <v>861</v>
      </c>
      <c r="B49" s="830">
        <v>12</v>
      </c>
      <c r="C49" s="830" t="s">
        <v>963</v>
      </c>
      <c r="D49" s="781" t="s">
        <v>1056</v>
      </c>
      <c r="E49" s="829">
        <v>37887068</v>
      </c>
      <c r="F49" s="782" t="s">
        <v>1013</v>
      </c>
      <c r="G49" s="824">
        <v>0</v>
      </c>
      <c r="H49" s="834"/>
      <c r="I49" s="834"/>
      <c r="J49" s="834"/>
      <c r="K49" s="826">
        <v>0.58626999999999996</v>
      </c>
      <c r="L49" s="826">
        <v>0.58626999999999996</v>
      </c>
      <c r="M49" s="827">
        <v>39994</v>
      </c>
      <c r="N49" s="826">
        <v>0</v>
      </c>
      <c r="O49" s="826">
        <v>0</v>
      </c>
    </row>
    <row r="50" spans="1:19" s="840" customFormat="1" ht="25.5" x14ac:dyDescent="0.2">
      <c r="A50" s="781" t="s">
        <v>865</v>
      </c>
      <c r="B50" s="830">
        <v>11</v>
      </c>
      <c r="C50" s="830" t="s">
        <v>963</v>
      </c>
      <c r="D50" s="781" t="s">
        <v>1057</v>
      </c>
      <c r="E50" s="860">
        <v>37954954</v>
      </c>
      <c r="F50" s="780" t="s">
        <v>1017</v>
      </c>
      <c r="G50" s="824">
        <v>0</v>
      </c>
      <c r="H50" s="830"/>
      <c r="I50" s="830"/>
      <c r="J50" s="873"/>
      <c r="K50" s="826">
        <v>2.0260699999999998</v>
      </c>
      <c r="L50" s="826">
        <v>5.8788</v>
      </c>
      <c r="M50" s="874">
        <v>39744</v>
      </c>
      <c r="N50" s="826">
        <v>0</v>
      </c>
      <c r="O50" s="826">
        <v>0</v>
      </c>
    </row>
    <row r="51" spans="1:19" s="875" customFormat="1" ht="26.25" customHeight="1" x14ac:dyDescent="0.2">
      <c r="A51" s="781" t="s">
        <v>865</v>
      </c>
      <c r="B51" s="830">
        <v>7</v>
      </c>
      <c r="C51" s="830" t="s">
        <v>954</v>
      </c>
      <c r="D51" s="781" t="s">
        <v>1058</v>
      </c>
      <c r="E51" s="860">
        <v>17336082</v>
      </c>
      <c r="F51" s="780" t="s">
        <v>1013</v>
      </c>
      <c r="G51" s="824">
        <v>0</v>
      </c>
      <c r="H51" s="873"/>
      <c r="I51" s="873"/>
      <c r="J51" s="873"/>
      <c r="K51" s="826">
        <v>0.11531</v>
      </c>
      <c r="L51" s="826">
        <v>0.11531</v>
      </c>
      <c r="M51" s="874">
        <v>40288</v>
      </c>
      <c r="N51" s="826">
        <v>3.5173000000000001</v>
      </c>
      <c r="O51" s="826">
        <v>0</v>
      </c>
    </row>
    <row r="52" spans="1:19" s="884" customFormat="1" ht="24.75" customHeight="1" x14ac:dyDescent="0.25">
      <c r="A52" s="876" t="s">
        <v>4</v>
      </c>
      <c r="B52" s="877"/>
      <c r="C52" s="877"/>
      <c r="D52" s="877"/>
      <c r="E52" s="878"/>
      <c r="F52" s="879"/>
      <c r="G52" s="880">
        <f>SUM(G4:G51)</f>
        <v>120284.22347</v>
      </c>
      <c r="H52" s="881"/>
      <c r="I52" s="881"/>
      <c r="J52" s="882">
        <f>SUM(J4:J51)</f>
        <v>953.44416000000001</v>
      </c>
      <c r="K52" s="882">
        <f>SUM(K4:K51)</f>
        <v>4473.1758851158465</v>
      </c>
      <c r="L52" s="882">
        <f>SUM(L4:L51)</f>
        <v>16363.452782802224</v>
      </c>
      <c r="M52" s="883"/>
      <c r="N52" s="882">
        <f>SUM(N4:N51)</f>
        <v>11993.279796573057</v>
      </c>
      <c r="O52" s="882">
        <f>SUM(O4:O51)</f>
        <v>10400.033140000001</v>
      </c>
    </row>
    <row r="53" spans="1:19" s="884" customFormat="1" ht="15" customHeight="1" x14ac:dyDescent="0.25">
      <c r="A53" s="885"/>
      <c r="B53" s="885"/>
      <c r="C53" s="885"/>
      <c r="D53" s="885"/>
      <c r="E53" s="886"/>
      <c r="F53" s="887"/>
      <c r="G53" s="888"/>
      <c r="H53" s="889"/>
      <c r="I53" s="889"/>
      <c r="J53" s="889"/>
      <c r="K53" s="889"/>
      <c r="L53" s="889"/>
      <c r="M53" s="889"/>
      <c r="N53" s="889"/>
      <c r="O53" s="889"/>
      <c r="P53" s="95"/>
      <c r="Q53" s="95"/>
      <c r="R53" s="95"/>
      <c r="S53" s="95"/>
    </row>
    <row r="54" spans="1:19" s="884" customFormat="1" ht="15" customHeight="1" x14ac:dyDescent="0.25">
      <c r="A54" s="885"/>
      <c r="B54" s="885"/>
      <c r="C54" s="885"/>
      <c r="D54" s="885"/>
      <c r="E54" s="886"/>
      <c r="F54" s="887"/>
      <c r="G54" s="888"/>
      <c r="H54" s="889"/>
      <c r="I54" s="889"/>
      <c r="J54" s="889"/>
      <c r="K54" s="889"/>
      <c r="L54" s="889"/>
      <c r="M54" s="889"/>
      <c r="N54" s="889"/>
      <c r="O54" s="889"/>
      <c r="P54" s="95"/>
      <c r="Q54" s="95"/>
      <c r="R54" s="95"/>
      <c r="S54" s="95"/>
    </row>
    <row r="55" spans="1:19" ht="12.75" customHeight="1" x14ac:dyDescent="0.2">
      <c r="A55" s="890" t="s">
        <v>994</v>
      </c>
      <c r="B55" s="891"/>
      <c r="C55" s="891"/>
      <c r="D55" s="891"/>
      <c r="E55" s="892"/>
      <c r="F55" s="893"/>
      <c r="G55" s="894"/>
      <c r="H55" s="894"/>
      <c r="I55" s="894"/>
      <c r="J55" s="894"/>
    </row>
    <row r="56" spans="1:19" ht="15" customHeight="1" x14ac:dyDescent="0.2">
      <c r="A56" s="891"/>
      <c r="B56" s="891"/>
      <c r="C56" s="891"/>
      <c r="D56" s="891"/>
      <c r="E56" s="892"/>
      <c r="F56" s="893"/>
      <c r="G56" s="893"/>
      <c r="H56" s="891"/>
      <c r="I56" s="891"/>
      <c r="J56" s="891"/>
      <c r="K56" s="895"/>
      <c r="L56" s="895"/>
      <c r="M56" s="896"/>
      <c r="N56" s="896"/>
      <c r="O56" s="884"/>
    </row>
    <row r="57" spans="1:19" s="875" customFormat="1" ht="15" customHeight="1" x14ac:dyDescent="0.25">
      <c r="A57" s="810" t="s">
        <v>830</v>
      </c>
      <c r="B57" s="811" t="s">
        <v>998</v>
      </c>
      <c r="C57" s="811" t="s">
        <v>999</v>
      </c>
      <c r="D57" s="811" t="s">
        <v>1059</v>
      </c>
      <c r="E57" s="811" t="s">
        <v>950</v>
      </c>
      <c r="F57" s="811" t="s">
        <v>1000</v>
      </c>
      <c r="G57" s="812" t="s">
        <v>1001</v>
      </c>
      <c r="H57" s="811" t="s">
        <v>1002</v>
      </c>
      <c r="I57" s="811" t="s">
        <v>1003</v>
      </c>
      <c r="J57" s="811" t="s">
        <v>1004</v>
      </c>
      <c r="K57" s="813" t="s">
        <v>1005</v>
      </c>
      <c r="L57" s="814"/>
      <c r="M57" s="814"/>
      <c r="N57" s="815"/>
      <c r="P57"/>
      <c r="Q57"/>
      <c r="R57"/>
      <c r="S57"/>
    </row>
    <row r="58" spans="1:19" s="875" customFormat="1" ht="99" customHeight="1" x14ac:dyDescent="0.2">
      <c r="A58" s="817"/>
      <c r="B58" s="818"/>
      <c r="C58" s="818"/>
      <c r="D58" s="818"/>
      <c r="E58" s="818"/>
      <c r="F58" s="818"/>
      <c r="G58" s="819"/>
      <c r="H58" s="818"/>
      <c r="I58" s="818"/>
      <c r="J58" s="818"/>
      <c r="K58" s="820" t="s">
        <v>1007</v>
      </c>
      <c r="L58" s="821" t="s">
        <v>1008</v>
      </c>
      <c r="M58" s="821" t="s">
        <v>1009</v>
      </c>
      <c r="N58" s="821" t="s">
        <v>1010</v>
      </c>
      <c r="P58"/>
      <c r="Q58"/>
      <c r="R58"/>
      <c r="S58"/>
    </row>
    <row r="59" spans="1:19" s="828" customFormat="1" ht="40.5" customHeight="1" x14ac:dyDescent="0.2">
      <c r="A59" s="897" t="s">
        <v>839</v>
      </c>
      <c r="B59" s="780">
        <v>13</v>
      </c>
      <c r="C59" s="780" t="s">
        <v>963</v>
      </c>
      <c r="D59" s="836" t="s">
        <v>1060</v>
      </c>
      <c r="E59" s="898">
        <v>42041741</v>
      </c>
      <c r="F59" s="899" t="s">
        <v>1017</v>
      </c>
      <c r="G59" s="834">
        <v>0</v>
      </c>
      <c r="H59" s="834"/>
      <c r="I59" s="834"/>
      <c r="J59" s="834"/>
      <c r="K59" s="900">
        <v>191.78223129522669</v>
      </c>
      <c r="L59" s="900">
        <v>191.78223129522669</v>
      </c>
      <c r="M59" s="827">
        <v>39722</v>
      </c>
      <c r="N59" s="900">
        <v>294.2369713868419</v>
      </c>
      <c r="O59"/>
      <c r="P59"/>
      <c r="Q59"/>
      <c r="R59"/>
      <c r="S59"/>
    </row>
    <row r="60" spans="1:19" s="828" customFormat="1" ht="40.5" customHeight="1" x14ac:dyDescent="0.2">
      <c r="A60" s="781" t="s">
        <v>845</v>
      </c>
      <c r="B60" s="780">
        <v>13</v>
      </c>
      <c r="C60" s="780" t="s">
        <v>963</v>
      </c>
      <c r="D60" s="836" t="s">
        <v>1061</v>
      </c>
      <c r="E60" s="860">
        <v>42093937</v>
      </c>
      <c r="F60" s="899" t="s">
        <v>1017</v>
      </c>
      <c r="G60" s="838">
        <v>0</v>
      </c>
      <c r="H60" s="830"/>
      <c r="I60" s="830"/>
      <c r="J60" s="830"/>
      <c r="K60" s="900">
        <v>123.78976</v>
      </c>
      <c r="L60" s="900">
        <v>123.78976</v>
      </c>
      <c r="M60" s="827">
        <v>39589</v>
      </c>
      <c r="N60" s="900">
        <v>88.100949999999997</v>
      </c>
      <c r="O60"/>
      <c r="P60"/>
      <c r="Q60"/>
      <c r="R60"/>
      <c r="S60"/>
    </row>
    <row r="61" spans="1:19" s="828" customFormat="1" ht="54.75" customHeight="1" x14ac:dyDescent="0.2">
      <c r="A61" s="832" t="s">
        <v>847</v>
      </c>
      <c r="B61" s="901">
        <v>13</v>
      </c>
      <c r="C61" s="901" t="s">
        <v>963</v>
      </c>
      <c r="D61" s="902" t="s">
        <v>1062</v>
      </c>
      <c r="E61" s="903">
        <v>42093937</v>
      </c>
      <c r="F61" s="901" t="s">
        <v>1017</v>
      </c>
      <c r="G61" s="904">
        <v>0</v>
      </c>
      <c r="H61" s="786"/>
      <c r="I61" s="832"/>
      <c r="J61" s="786"/>
      <c r="K61" s="900">
        <v>311.04984999999999</v>
      </c>
      <c r="L61" s="900">
        <v>311.04984999999999</v>
      </c>
      <c r="M61" s="874">
        <v>39561</v>
      </c>
      <c r="N61" s="900">
        <v>677.24404000000004</v>
      </c>
      <c r="O61"/>
      <c r="P61"/>
      <c r="Q61"/>
      <c r="R61"/>
      <c r="S61"/>
    </row>
    <row r="62" spans="1:19" s="875" customFormat="1" ht="15" x14ac:dyDescent="0.25">
      <c r="A62" s="905" t="s">
        <v>4</v>
      </c>
      <c r="B62" s="906"/>
      <c r="C62" s="906"/>
      <c r="D62" s="906"/>
      <c r="E62" s="906"/>
      <c r="F62" s="907"/>
      <c r="G62" s="908">
        <v>0</v>
      </c>
      <c r="H62" s="909"/>
      <c r="I62" s="910"/>
      <c r="J62" s="911">
        <f>SUM(J59:J61)</f>
        <v>0</v>
      </c>
      <c r="K62" s="912">
        <f>SUM(K59:K61)</f>
        <v>626.62184129522666</v>
      </c>
      <c r="L62" s="913">
        <f>SUM(L59:L61)</f>
        <v>626.62184129522666</v>
      </c>
      <c r="M62" s="913"/>
      <c r="N62" s="912">
        <f>SUM(N59:N61)</f>
        <v>1059.5819613868421</v>
      </c>
      <c r="O62"/>
      <c r="P62"/>
      <c r="Q62"/>
      <c r="R62"/>
      <c r="S62"/>
    </row>
    <row r="63" spans="1:19" ht="12.75" customHeight="1" x14ac:dyDescent="0.2">
      <c r="A63" s="894"/>
      <c r="B63" s="894"/>
      <c r="C63" s="894"/>
      <c r="D63" s="894"/>
      <c r="E63" s="894"/>
      <c r="F63" s="914"/>
      <c r="G63" s="914"/>
      <c r="J63" s="916"/>
      <c r="K63" s="916"/>
      <c r="L63" s="916"/>
      <c r="M63" s="916"/>
      <c r="N63" s="916"/>
      <c r="O63" s="916"/>
    </row>
    <row r="64" spans="1:19" ht="15.75" x14ac:dyDescent="0.25">
      <c r="A64" s="917" t="s">
        <v>1063</v>
      </c>
      <c r="B64" s="894"/>
      <c r="C64" s="894"/>
      <c r="D64" s="894"/>
      <c r="E64" s="894"/>
      <c r="F64" s="914"/>
      <c r="G64" s="914"/>
      <c r="K64" s="918"/>
      <c r="L64" s="918"/>
      <c r="M64" s="918"/>
      <c r="N64" s="918"/>
    </row>
    <row r="65" spans="1:14" ht="15" x14ac:dyDescent="0.25">
      <c r="A65" s="919" t="s">
        <v>947</v>
      </c>
      <c r="B65" s="919"/>
      <c r="C65" s="919"/>
      <c r="D65" s="920"/>
      <c r="L65" s="611"/>
    </row>
    <row r="66" spans="1:14" ht="15.75" customHeight="1" x14ac:dyDescent="0.25">
      <c r="A66" s="922">
        <v>1</v>
      </c>
      <c r="B66" s="923" t="s">
        <v>982</v>
      </c>
      <c r="C66" s="924"/>
      <c r="D66" s="920"/>
      <c r="H66" s="915"/>
      <c r="I66" s="922">
        <v>10</v>
      </c>
      <c r="J66" s="923" t="s">
        <v>991</v>
      </c>
      <c r="K66" s="925"/>
      <c r="L66" s="926"/>
      <c r="M66" s="926"/>
      <c r="N66" s="926"/>
    </row>
    <row r="67" spans="1:14" ht="15.75" x14ac:dyDescent="0.25">
      <c r="A67" s="922">
        <v>2</v>
      </c>
      <c r="B67" s="923" t="s">
        <v>983</v>
      </c>
      <c r="C67" s="924"/>
      <c r="D67" s="920"/>
      <c r="H67" s="915"/>
      <c r="I67" s="922">
        <v>11</v>
      </c>
      <c r="J67" s="923" t="s">
        <v>992</v>
      </c>
      <c r="K67" s="925"/>
    </row>
    <row r="68" spans="1:14" ht="15.75" customHeight="1" x14ac:dyDescent="0.25">
      <c r="A68" s="922">
        <v>3</v>
      </c>
      <c r="B68" s="923" t="s">
        <v>984</v>
      </c>
      <c r="C68" s="924"/>
      <c r="D68" s="920"/>
      <c r="H68" s="915"/>
      <c r="I68" s="922">
        <v>12</v>
      </c>
      <c r="J68" s="923" t="s">
        <v>993</v>
      </c>
      <c r="K68" s="925"/>
    </row>
    <row r="69" spans="1:14" ht="15.75" x14ac:dyDescent="0.25">
      <c r="A69" s="922">
        <v>4</v>
      </c>
      <c r="B69" s="923" t="s">
        <v>985</v>
      </c>
      <c r="C69" s="924"/>
      <c r="D69" s="920"/>
      <c r="H69" s="915"/>
      <c r="I69" s="927">
        <v>13</v>
      </c>
      <c r="J69" s="923" t="s">
        <v>994</v>
      </c>
      <c r="K69" s="611"/>
    </row>
    <row r="70" spans="1:14" ht="15.75" customHeight="1" x14ac:dyDescent="0.25">
      <c r="A70" s="922">
        <v>5</v>
      </c>
      <c r="B70" s="923" t="s">
        <v>986</v>
      </c>
      <c r="C70" s="924"/>
      <c r="D70" s="920"/>
      <c r="H70" s="915"/>
      <c r="I70" s="894"/>
      <c r="J70" s="894"/>
      <c r="K70" s="611"/>
      <c r="L70" s="611"/>
    </row>
    <row r="71" spans="1:14" ht="15.75" x14ac:dyDescent="0.25">
      <c r="A71" s="922">
        <v>6</v>
      </c>
      <c r="B71" s="923" t="s">
        <v>987</v>
      </c>
      <c r="H71" s="915"/>
      <c r="J71" s="499"/>
      <c r="K71" s="611"/>
      <c r="L71" s="611"/>
    </row>
    <row r="72" spans="1:14" ht="15.75" customHeight="1" x14ac:dyDescent="0.25">
      <c r="A72" s="922">
        <v>7</v>
      </c>
      <c r="B72" s="923" t="s">
        <v>988</v>
      </c>
      <c r="H72" s="915"/>
      <c r="I72" s="919" t="s">
        <v>948</v>
      </c>
      <c r="J72" s="919"/>
      <c r="K72" s="611"/>
      <c r="L72" s="611"/>
    </row>
    <row r="73" spans="1:14" ht="15.75" x14ac:dyDescent="0.25">
      <c r="A73" s="922">
        <v>8</v>
      </c>
      <c r="B73" s="923" t="s">
        <v>989</v>
      </c>
      <c r="H73" s="915"/>
      <c r="I73" s="928" t="s">
        <v>954</v>
      </c>
      <c r="J73" s="923" t="s">
        <v>995</v>
      </c>
      <c r="K73" s="611"/>
      <c r="L73" s="611"/>
    </row>
    <row r="74" spans="1:14" ht="15.75" customHeight="1" x14ac:dyDescent="0.25">
      <c r="A74" s="922">
        <v>9</v>
      </c>
      <c r="B74" s="923" t="s">
        <v>990</v>
      </c>
      <c r="H74" s="915"/>
      <c r="I74" s="928" t="s">
        <v>963</v>
      </c>
      <c r="J74" s="923" t="s">
        <v>996</v>
      </c>
      <c r="K74" s="611"/>
      <c r="L74" s="611"/>
    </row>
    <row r="75" spans="1:14" ht="12.75" customHeight="1" x14ac:dyDescent="0.2">
      <c r="B75" s="763"/>
      <c r="C75" s="763"/>
      <c r="D75" s="884"/>
      <c r="E75" s="884"/>
      <c r="F75" s="929"/>
      <c r="G75" s="929"/>
      <c r="H75" s="915"/>
      <c r="I75" s="499"/>
      <c r="K75" s="611"/>
      <c r="L75" s="611"/>
    </row>
    <row r="76" spans="1:14" ht="15" customHeight="1" x14ac:dyDescent="0.25">
      <c r="A76" s="894"/>
      <c r="B76" s="930" t="s">
        <v>1013</v>
      </c>
      <c r="C76" s="931" t="s">
        <v>1064</v>
      </c>
      <c r="D76" s="932"/>
      <c r="H76" s="915"/>
      <c r="J76" s="499"/>
      <c r="K76" s="611"/>
      <c r="L76" s="611"/>
    </row>
    <row r="77" spans="1:14" ht="15" x14ac:dyDescent="0.25">
      <c r="A77" s="894"/>
      <c r="B77" s="930" t="s">
        <v>1011</v>
      </c>
      <c r="C77" s="931" t="s">
        <v>1065</v>
      </c>
      <c r="H77" s="915"/>
      <c r="J77" s="499"/>
      <c r="K77" s="611"/>
      <c r="L77" s="611"/>
    </row>
    <row r="78" spans="1:14" ht="15" customHeight="1" x14ac:dyDescent="0.25">
      <c r="A78" s="894"/>
      <c r="B78" s="930" t="s">
        <v>1037</v>
      </c>
      <c r="C78" s="931" t="s">
        <v>1066</v>
      </c>
      <c r="H78" s="915"/>
      <c r="J78" s="499"/>
      <c r="K78" s="611"/>
      <c r="L78" s="611"/>
    </row>
    <row r="79" spans="1:14" ht="15" x14ac:dyDescent="0.25">
      <c r="A79" s="894"/>
      <c r="B79" s="930" t="s">
        <v>1017</v>
      </c>
      <c r="C79" s="931" t="s">
        <v>1067</v>
      </c>
      <c r="H79" s="894"/>
      <c r="I79" s="894"/>
      <c r="J79" s="894"/>
      <c r="K79" s="611"/>
      <c r="L79" s="611"/>
    </row>
    <row r="80" spans="1:14" ht="15" customHeight="1" x14ac:dyDescent="0.2">
      <c r="H80" s="933"/>
      <c r="I80" s="933"/>
      <c r="J80" s="894"/>
      <c r="K80" s="611"/>
      <c r="L80" s="611"/>
    </row>
    <row r="81" spans="1:12" ht="15" x14ac:dyDescent="0.2">
      <c r="H81" s="934"/>
      <c r="I81" s="935"/>
      <c r="J81" s="894"/>
      <c r="K81" s="611"/>
      <c r="L81" s="611"/>
    </row>
    <row r="82" spans="1:12" ht="14.25" customHeight="1" x14ac:dyDescent="0.2">
      <c r="H82" s="936"/>
      <c r="I82" s="936"/>
      <c r="J82" s="894"/>
      <c r="K82" s="611"/>
      <c r="L82" s="611"/>
    </row>
    <row r="83" spans="1:12" ht="12.75" customHeight="1" x14ac:dyDescent="0.2">
      <c r="H83" s="937"/>
      <c r="I83" s="937"/>
      <c r="J83" s="894"/>
      <c r="K83" s="611"/>
      <c r="L83" s="611"/>
    </row>
    <row r="84" spans="1:12" ht="12.75" customHeight="1" x14ac:dyDescent="0.2">
      <c r="H84" s="938"/>
      <c r="I84" s="938"/>
      <c r="J84" s="894"/>
      <c r="K84" s="611"/>
      <c r="L84" s="611"/>
    </row>
    <row r="85" spans="1:12" ht="12.75" customHeight="1" x14ac:dyDescent="0.2">
      <c r="H85" s="939"/>
      <c r="I85" s="939"/>
      <c r="J85" s="894"/>
      <c r="K85" s="611"/>
      <c r="L85" s="611"/>
    </row>
    <row r="86" spans="1:12" ht="15" customHeight="1" x14ac:dyDescent="0.25">
      <c r="H86" s="940"/>
      <c r="I86" s="940"/>
      <c r="J86" s="894"/>
      <c r="K86" s="611"/>
      <c r="L86" s="611"/>
    </row>
    <row r="87" spans="1:12" ht="12.75" customHeight="1" x14ac:dyDescent="0.2">
      <c r="H87" s="894"/>
      <c r="I87" s="918"/>
      <c r="J87" s="894"/>
      <c r="K87" s="611"/>
      <c r="L87" s="611"/>
    </row>
    <row r="88" spans="1:12" ht="12.75" customHeight="1" x14ac:dyDescent="0.2">
      <c r="H88" s="918"/>
      <c r="I88" s="918"/>
      <c r="J88" s="894"/>
      <c r="K88" s="611"/>
      <c r="L88" s="611"/>
    </row>
    <row r="89" spans="1:12" ht="12.75" customHeight="1" x14ac:dyDescent="0.2">
      <c r="H89" s="918"/>
      <c r="I89" s="918"/>
      <c r="J89" s="894"/>
      <c r="K89" s="611"/>
      <c r="L89" s="611"/>
    </row>
    <row r="90" spans="1:12" ht="12.75" customHeight="1" x14ac:dyDescent="0.2">
      <c r="A90" s="894"/>
      <c r="B90" s="894"/>
      <c r="C90" s="894"/>
      <c r="D90" s="894"/>
      <c r="E90" s="894"/>
      <c r="F90" s="894"/>
      <c r="G90" s="894"/>
      <c r="H90" s="941"/>
      <c r="I90" s="941"/>
      <c r="J90" s="894"/>
      <c r="K90" s="611"/>
      <c r="L90" s="611"/>
    </row>
    <row r="91" spans="1:12" ht="12.75" customHeight="1" x14ac:dyDescent="0.2">
      <c r="A91" s="894"/>
      <c r="B91" s="894"/>
      <c r="C91" s="894"/>
      <c r="D91" s="894"/>
      <c r="E91" s="894"/>
      <c r="F91" s="894"/>
      <c r="G91" s="894"/>
      <c r="H91" s="894"/>
      <c r="I91" s="894"/>
      <c r="J91" s="894"/>
      <c r="K91" s="611"/>
      <c r="L91" s="611"/>
    </row>
    <row r="92" spans="1:12" ht="12.75" customHeight="1" x14ac:dyDescent="0.2">
      <c r="A92" s="894"/>
      <c r="B92" s="894"/>
      <c r="C92" s="894"/>
      <c r="D92" s="894"/>
      <c r="E92" s="894"/>
      <c r="F92" s="894"/>
      <c r="G92" s="894"/>
      <c r="H92" s="894"/>
      <c r="I92" s="894"/>
      <c r="J92" s="894"/>
      <c r="K92" s="611"/>
      <c r="L92" s="611"/>
    </row>
    <row r="93" spans="1:12" ht="12.75" customHeight="1" x14ac:dyDescent="0.2">
      <c r="A93" s="894"/>
      <c r="B93" s="894"/>
      <c r="C93" s="894"/>
      <c r="D93" s="894"/>
      <c r="E93" s="894"/>
      <c r="F93" s="894"/>
      <c r="G93" s="894"/>
      <c r="H93" s="915"/>
      <c r="J93" s="499"/>
      <c r="K93" s="611"/>
      <c r="L93" s="611"/>
    </row>
    <row r="94" spans="1:12" ht="12.75" customHeight="1" x14ac:dyDescent="0.2">
      <c r="A94" s="894"/>
      <c r="B94" s="894"/>
      <c r="C94" s="894"/>
      <c r="D94" s="894"/>
      <c r="E94" s="894"/>
      <c r="F94" s="894"/>
      <c r="G94" s="894"/>
      <c r="H94" s="915"/>
      <c r="J94" s="499"/>
      <c r="K94" s="611"/>
      <c r="L94" s="611"/>
    </row>
    <row r="95" spans="1:12" ht="12.75" customHeight="1" x14ac:dyDescent="0.2">
      <c r="A95" s="894"/>
      <c r="B95" s="894"/>
      <c r="C95" s="894"/>
      <c r="D95" s="894"/>
      <c r="E95" s="894"/>
      <c r="F95" s="894"/>
      <c r="G95" s="894"/>
      <c r="H95" s="915"/>
      <c r="J95" s="499"/>
      <c r="K95" s="611"/>
      <c r="L95" s="611"/>
    </row>
    <row r="96" spans="1:12" ht="12.75" customHeight="1" x14ac:dyDescent="0.2">
      <c r="A96" s="894"/>
      <c r="B96" s="894"/>
      <c r="C96" s="894"/>
      <c r="D96" s="894"/>
      <c r="E96" s="894"/>
      <c r="F96" s="894"/>
      <c r="G96" s="894"/>
      <c r="H96" s="915"/>
      <c r="J96" s="499"/>
      <c r="K96" s="611"/>
      <c r="L96" s="611"/>
    </row>
    <row r="97" spans="1:12" ht="12.75" customHeight="1" x14ac:dyDescent="0.2">
      <c r="A97" s="894"/>
      <c r="B97" s="894"/>
      <c r="C97" s="894"/>
      <c r="D97" s="894"/>
      <c r="E97" s="894"/>
      <c r="F97" s="894"/>
      <c r="G97" s="894"/>
      <c r="H97" s="915"/>
      <c r="J97" s="499"/>
      <c r="K97" s="611"/>
      <c r="L97" s="611"/>
    </row>
    <row r="98" spans="1:12" ht="12.75" customHeight="1" x14ac:dyDescent="0.2">
      <c r="A98" s="894"/>
      <c r="B98" s="894"/>
      <c r="C98" s="894"/>
      <c r="D98" s="894"/>
      <c r="E98" s="894"/>
      <c r="F98" s="894"/>
      <c r="G98" s="894"/>
      <c r="H98" s="915"/>
      <c r="J98" s="499"/>
      <c r="K98" s="611"/>
      <c r="L98" s="611"/>
    </row>
    <row r="99" spans="1:12" ht="12.75" customHeight="1" x14ac:dyDescent="0.2">
      <c r="A99" s="894"/>
      <c r="B99" s="894"/>
      <c r="C99" s="894"/>
      <c r="D99" s="894"/>
      <c r="E99" s="894"/>
      <c r="F99" s="894"/>
      <c r="G99" s="894"/>
      <c r="H99" s="915"/>
      <c r="J99" s="499"/>
      <c r="K99" s="611"/>
      <c r="L99" s="611"/>
    </row>
    <row r="100" spans="1:12" ht="12.75" customHeight="1" x14ac:dyDescent="0.2">
      <c r="A100" s="894"/>
      <c r="B100" s="894"/>
      <c r="C100" s="894"/>
      <c r="D100" s="894"/>
      <c r="E100" s="894"/>
      <c r="F100" s="894"/>
      <c r="G100" s="894"/>
      <c r="H100" s="915"/>
      <c r="J100" s="499"/>
      <c r="K100" s="611"/>
      <c r="L100" s="611"/>
    </row>
    <row r="101" spans="1:12" ht="12.75" customHeight="1" x14ac:dyDescent="0.2">
      <c r="A101" s="894"/>
      <c r="B101" s="894"/>
      <c r="C101" s="894"/>
      <c r="D101" s="894"/>
      <c r="E101" s="894"/>
      <c r="F101" s="894"/>
      <c r="G101" s="894"/>
      <c r="H101" s="915"/>
      <c r="J101" s="499"/>
      <c r="K101" s="611"/>
      <c r="L101" s="611"/>
    </row>
    <row r="102" spans="1:12" ht="12.75" customHeight="1" x14ac:dyDescent="0.2">
      <c r="A102" s="894"/>
      <c r="B102" s="894"/>
      <c r="C102" s="894"/>
      <c r="D102" s="894"/>
      <c r="E102" s="894"/>
      <c r="F102" s="894"/>
      <c r="G102" s="894"/>
      <c r="H102" s="915"/>
      <c r="J102" s="499"/>
      <c r="K102" s="611"/>
      <c r="L102" s="611"/>
    </row>
    <row r="103" spans="1:12" ht="12.75" customHeight="1" x14ac:dyDescent="0.2">
      <c r="A103" s="894"/>
      <c r="B103" s="894"/>
      <c r="C103" s="894"/>
      <c r="D103" s="894"/>
      <c r="E103" s="894"/>
      <c r="F103" s="894"/>
      <c r="G103" s="894"/>
      <c r="H103" s="915"/>
      <c r="J103" s="499"/>
      <c r="K103" s="611"/>
      <c r="L103" s="611"/>
    </row>
    <row r="104" spans="1:12" ht="12.75" customHeight="1" x14ac:dyDescent="0.2">
      <c r="A104" s="894"/>
      <c r="B104" s="894"/>
      <c r="C104" s="894"/>
      <c r="D104" s="894"/>
      <c r="E104" s="894"/>
      <c r="F104" s="894"/>
      <c r="G104" s="894"/>
      <c r="H104" s="915"/>
      <c r="J104" s="499"/>
      <c r="K104" s="611"/>
      <c r="L104" s="611"/>
    </row>
    <row r="105" spans="1:12" ht="12.75" customHeight="1" x14ac:dyDescent="0.2">
      <c r="A105" s="894"/>
      <c r="B105" s="894"/>
      <c r="C105" s="894"/>
      <c r="D105" s="894"/>
      <c r="E105" s="894"/>
      <c r="F105" s="894"/>
      <c r="G105" s="894"/>
      <c r="H105" s="915"/>
      <c r="J105" s="499"/>
      <c r="K105" s="611"/>
      <c r="L105" s="611"/>
    </row>
    <row r="106" spans="1:12" ht="12.75" customHeight="1" x14ac:dyDescent="0.2">
      <c r="A106" s="894"/>
      <c r="B106" s="894"/>
      <c r="C106" s="894"/>
      <c r="D106" s="894"/>
      <c r="E106" s="894"/>
      <c r="F106" s="894"/>
      <c r="G106" s="894"/>
      <c r="H106" s="915"/>
      <c r="J106" s="499"/>
      <c r="K106" s="611"/>
      <c r="L106" s="611"/>
    </row>
    <row r="107" spans="1:12" ht="12.75" customHeight="1" x14ac:dyDescent="0.2">
      <c r="A107" s="894"/>
      <c r="B107" s="894"/>
      <c r="C107" s="894"/>
      <c r="D107" s="894"/>
      <c r="E107" s="894"/>
      <c r="F107" s="894"/>
      <c r="G107" s="894"/>
      <c r="H107" s="915"/>
      <c r="J107" s="499"/>
      <c r="K107" s="611"/>
      <c r="L107" s="611"/>
    </row>
    <row r="108" spans="1:12" ht="12.75" customHeight="1" x14ac:dyDescent="0.2">
      <c r="A108" s="894"/>
      <c r="B108" s="894"/>
      <c r="C108" s="894"/>
      <c r="D108" s="894"/>
      <c r="E108" s="894"/>
      <c r="F108" s="894"/>
      <c r="G108" s="894"/>
      <c r="H108" s="915"/>
      <c r="J108" s="499"/>
      <c r="K108" s="611"/>
      <c r="L108" s="611"/>
    </row>
    <row r="109" spans="1:12" ht="12.75" customHeight="1" x14ac:dyDescent="0.2">
      <c r="A109" s="894"/>
      <c r="B109" s="894"/>
      <c r="C109" s="894"/>
      <c r="D109" s="894"/>
      <c r="E109" s="894"/>
      <c r="F109" s="894"/>
      <c r="G109" s="894"/>
      <c r="H109" s="915"/>
      <c r="J109" s="499"/>
      <c r="K109" s="611"/>
      <c r="L109" s="611"/>
    </row>
    <row r="110" spans="1:12" ht="12.75" customHeight="1" x14ac:dyDescent="0.2">
      <c r="A110" s="894"/>
      <c r="B110" s="894"/>
      <c r="C110" s="894"/>
      <c r="D110" s="894"/>
      <c r="E110" s="894"/>
      <c r="F110" s="894"/>
      <c r="G110" s="894"/>
      <c r="H110" s="915"/>
      <c r="J110" s="499"/>
      <c r="K110" s="611"/>
      <c r="L110" s="611"/>
    </row>
  </sheetData>
  <mergeCells count="24">
    <mergeCell ref="H57:H58"/>
    <mergeCell ref="I57:I58"/>
    <mergeCell ref="J57:J58"/>
    <mergeCell ref="K57:N57"/>
    <mergeCell ref="J2:J3"/>
    <mergeCell ref="K2:N2"/>
    <mergeCell ref="O2:O3"/>
    <mergeCell ref="A57:A58"/>
    <mergeCell ref="B57:B58"/>
    <mergeCell ref="C57:C58"/>
    <mergeCell ref="D57:D58"/>
    <mergeCell ref="E57:E58"/>
    <mergeCell ref="F57:F58"/>
    <mergeCell ref="G57:G58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" right="0" top="0.78740157480314965" bottom="0.59055118110236227" header="0.19685039370078741" footer="0.19685039370078741"/>
  <pageSetup paperSize="9" scale="63" fitToHeight="0" orientation="landscape" r:id="rId1"/>
  <headerFooter alignWithMargins="0">
    <oddFooter>&amp;C&amp;12Strana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R27"/>
  <sheetViews>
    <sheetView workbookViewId="0">
      <selection activeCell="F32" sqref="F31:F32"/>
    </sheetView>
  </sheetViews>
  <sheetFormatPr defaultColWidth="7.85546875" defaultRowHeight="15" x14ac:dyDescent="0.2"/>
  <cols>
    <col min="1" max="1" width="44.5703125" style="17" customWidth="1"/>
    <col min="2" max="13" width="12.28515625" style="17" customWidth="1"/>
    <col min="14" max="14" width="14.7109375" style="17" customWidth="1"/>
    <col min="15" max="15" width="13.42578125" style="17" customWidth="1"/>
    <col min="16" max="16" width="11.28515625" style="17" customWidth="1"/>
    <col min="17" max="16384" width="7.85546875" style="17"/>
  </cols>
  <sheetData>
    <row r="6" spans="1:16" ht="19.5" customHeight="1" x14ac:dyDescent="0.2">
      <c r="A6" s="86" t="s">
        <v>90</v>
      </c>
    </row>
    <row r="7" spans="1:16" x14ac:dyDescent="0.2">
      <c r="N7" s="18" t="s">
        <v>3</v>
      </c>
    </row>
    <row r="8" spans="1:16" ht="44.25" customHeight="1" x14ac:dyDescent="0.2">
      <c r="A8" s="19" t="s">
        <v>1</v>
      </c>
      <c r="B8" s="20" t="s">
        <v>71</v>
      </c>
      <c r="C8" s="20" t="s">
        <v>72</v>
      </c>
      <c r="D8" s="20" t="s">
        <v>91</v>
      </c>
      <c r="E8" s="20" t="s">
        <v>92</v>
      </c>
      <c r="F8" s="20" t="s">
        <v>93</v>
      </c>
      <c r="G8" s="20" t="s">
        <v>94</v>
      </c>
      <c r="H8" s="20" t="s">
        <v>96</v>
      </c>
      <c r="I8" s="20" t="s">
        <v>97</v>
      </c>
      <c r="J8" s="20" t="s">
        <v>99</v>
      </c>
      <c r="K8" s="20" t="s">
        <v>100</v>
      </c>
      <c r="L8" s="20" t="s">
        <v>159</v>
      </c>
      <c r="M8" s="20" t="s">
        <v>161</v>
      </c>
      <c r="N8" s="89" t="s">
        <v>163</v>
      </c>
    </row>
    <row r="9" spans="1:16" ht="22.5" customHeight="1" x14ac:dyDescent="0.2">
      <c r="A9" s="21" t="s">
        <v>47</v>
      </c>
      <c r="B9" s="22">
        <f>+B11+B12+B13+B15+B16+B17+B18</f>
        <v>569360</v>
      </c>
      <c r="C9" s="22">
        <f t="shared" ref="C9:G9" si="0">+C11+C12+C13+C15+C16+C17+C18</f>
        <v>579003</v>
      </c>
      <c r="D9" s="22">
        <f t="shared" si="0"/>
        <v>543396</v>
      </c>
      <c r="E9" s="22">
        <f t="shared" si="0"/>
        <v>620300</v>
      </c>
      <c r="F9" s="22">
        <f t="shared" si="0"/>
        <v>579157</v>
      </c>
      <c r="G9" s="22">
        <f t="shared" si="0"/>
        <v>548063</v>
      </c>
      <c r="H9" s="22">
        <f t="shared" ref="H9:M9" si="1">+H11+H12+H13+H15+H16+H17+H18</f>
        <v>590808</v>
      </c>
      <c r="I9" s="22">
        <f t="shared" si="1"/>
        <v>600936</v>
      </c>
      <c r="J9" s="22">
        <f t="shared" si="1"/>
        <v>539113</v>
      </c>
      <c r="K9" s="22">
        <f t="shared" si="1"/>
        <v>615123</v>
      </c>
      <c r="L9" s="22">
        <f t="shared" si="1"/>
        <v>544531</v>
      </c>
      <c r="M9" s="22">
        <f t="shared" si="1"/>
        <v>630126</v>
      </c>
      <c r="N9" s="22">
        <f>+N11+N12+N13+N15+N16+N17+N18</f>
        <v>6959916</v>
      </c>
      <c r="P9" s="23"/>
    </row>
    <row r="10" spans="1:16" ht="22.5" customHeight="1" x14ac:dyDescent="0.2">
      <c r="A10" s="21" t="s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P10" s="23"/>
    </row>
    <row r="11" spans="1:16" ht="22.5" customHeight="1" x14ac:dyDescent="0.2">
      <c r="A11" s="21" t="s">
        <v>48</v>
      </c>
      <c r="B11" s="22">
        <v>32752</v>
      </c>
      <c r="C11" s="22">
        <v>32998</v>
      </c>
      <c r="D11" s="22">
        <v>31981</v>
      </c>
      <c r="E11" s="22">
        <v>34009</v>
      </c>
      <c r="F11" s="22">
        <v>31455</v>
      </c>
      <c r="G11" s="22">
        <v>31486</v>
      </c>
      <c r="H11" s="22">
        <v>30536</v>
      </c>
      <c r="I11" s="22">
        <v>30837</v>
      </c>
      <c r="J11" s="22">
        <v>30254</v>
      </c>
      <c r="K11" s="22">
        <v>29617</v>
      </c>
      <c r="L11" s="22">
        <v>32597</v>
      </c>
      <c r="M11" s="22">
        <v>32290</v>
      </c>
      <c r="N11" s="22">
        <f>SUM(B11:M11)</f>
        <v>380812</v>
      </c>
      <c r="P11" s="23"/>
    </row>
    <row r="12" spans="1:16" ht="22.5" customHeight="1" x14ac:dyDescent="0.2">
      <c r="A12" s="79" t="s">
        <v>49</v>
      </c>
      <c r="B12" s="80">
        <v>434928</v>
      </c>
      <c r="C12" s="80">
        <v>441706</v>
      </c>
      <c r="D12" s="80">
        <v>414812</v>
      </c>
      <c r="E12" s="80">
        <v>476015</v>
      </c>
      <c r="F12" s="80">
        <v>445953</v>
      </c>
      <c r="G12" s="80">
        <v>416481</v>
      </c>
      <c r="H12" s="80">
        <v>454679</v>
      </c>
      <c r="I12" s="80">
        <v>464128</v>
      </c>
      <c r="J12" s="80">
        <v>411820</v>
      </c>
      <c r="K12" s="80">
        <v>477565</v>
      </c>
      <c r="L12" s="80">
        <v>413261</v>
      </c>
      <c r="M12" s="80">
        <v>476748</v>
      </c>
      <c r="N12" s="80">
        <f t="shared" ref="N12:N18" si="2">SUM(B12:M12)</f>
        <v>5328096</v>
      </c>
      <c r="O12" s="23"/>
      <c r="P12" s="23"/>
    </row>
    <row r="13" spans="1:16" ht="22.5" customHeight="1" x14ac:dyDescent="0.2">
      <c r="A13" s="81" t="s">
        <v>50</v>
      </c>
      <c r="B13" s="82">
        <v>77109</v>
      </c>
      <c r="C13" s="82">
        <v>76516</v>
      </c>
      <c r="D13" s="82">
        <v>71132</v>
      </c>
      <c r="E13" s="82">
        <v>81854</v>
      </c>
      <c r="F13" s="82">
        <v>76565</v>
      </c>
      <c r="G13" s="82">
        <v>71413</v>
      </c>
      <c r="H13" s="82">
        <v>77946</v>
      </c>
      <c r="I13" s="82">
        <v>79112</v>
      </c>
      <c r="J13" s="82">
        <v>69479</v>
      </c>
      <c r="K13" s="82">
        <v>81230</v>
      </c>
      <c r="L13" s="82">
        <v>70287</v>
      </c>
      <c r="M13" s="82">
        <v>81271</v>
      </c>
      <c r="N13" s="82">
        <f t="shared" si="2"/>
        <v>913914</v>
      </c>
      <c r="P13" s="23"/>
    </row>
    <row r="14" spans="1:16" ht="22.5" customHeight="1" x14ac:dyDescent="0.2">
      <c r="A14" s="84" t="s">
        <v>87</v>
      </c>
      <c r="B14" s="83">
        <f>+B12+B13</f>
        <v>512037</v>
      </c>
      <c r="C14" s="83">
        <f t="shared" ref="C14" si="3">+C12+C13</f>
        <v>518222</v>
      </c>
      <c r="D14" s="83">
        <v>485944</v>
      </c>
      <c r="E14" s="83">
        <v>557869</v>
      </c>
      <c r="F14" s="83">
        <v>522518</v>
      </c>
      <c r="G14" s="83">
        <v>487894</v>
      </c>
      <c r="H14" s="83">
        <f>+H12+H13</f>
        <v>532625</v>
      </c>
      <c r="I14" s="83">
        <v>543240</v>
      </c>
      <c r="J14" s="83">
        <f>+J12+J13</f>
        <v>481299</v>
      </c>
      <c r="K14" s="83">
        <v>558795</v>
      </c>
      <c r="L14" s="83">
        <v>482638</v>
      </c>
      <c r="M14" s="83">
        <v>558929</v>
      </c>
      <c r="N14" s="83">
        <f t="shared" si="2"/>
        <v>6242010</v>
      </c>
      <c r="O14" s="23"/>
      <c r="P14" s="23"/>
    </row>
    <row r="15" spans="1:16" ht="22.5" customHeight="1" x14ac:dyDescent="0.2">
      <c r="A15" s="21" t="s">
        <v>51</v>
      </c>
      <c r="B15" s="22">
        <v>3683</v>
      </c>
      <c r="C15" s="22">
        <v>3502</v>
      </c>
      <c r="D15" s="22">
        <v>3486</v>
      </c>
      <c r="E15" s="22">
        <v>3843</v>
      </c>
      <c r="F15" s="22">
        <v>3751</v>
      </c>
      <c r="G15" s="22">
        <v>4061</v>
      </c>
      <c r="H15" s="22">
        <v>3689</v>
      </c>
      <c r="I15" s="22">
        <v>3563</v>
      </c>
      <c r="J15" s="22">
        <v>3390</v>
      </c>
      <c r="K15" s="22">
        <v>3611</v>
      </c>
      <c r="L15" s="22">
        <v>4100</v>
      </c>
      <c r="M15" s="22">
        <v>3904</v>
      </c>
      <c r="N15" s="22">
        <f t="shared" si="2"/>
        <v>44583</v>
      </c>
      <c r="O15" s="23"/>
      <c r="P15" s="23"/>
    </row>
    <row r="16" spans="1:16" ht="22.5" customHeight="1" x14ac:dyDescent="0.2">
      <c r="A16" s="21" t="s">
        <v>52</v>
      </c>
      <c r="B16" s="22">
        <v>441</v>
      </c>
      <c r="C16" s="22">
        <v>1968</v>
      </c>
      <c r="D16" s="22">
        <v>1347</v>
      </c>
      <c r="E16" s="22">
        <v>1150</v>
      </c>
      <c r="F16" s="22">
        <v>1009</v>
      </c>
      <c r="G16" s="22">
        <v>1116</v>
      </c>
      <c r="H16" s="22">
        <v>1637</v>
      </c>
      <c r="I16" s="22">
        <v>1498</v>
      </c>
      <c r="J16" s="22">
        <v>1130</v>
      </c>
      <c r="K16" s="22">
        <v>1354</v>
      </c>
      <c r="L16" s="22">
        <v>1312</v>
      </c>
      <c r="M16" s="22">
        <v>271</v>
      </c>
      <c r="N16" s="22">
        <f t="shared" si="2"/>
        <v>14233</v>
      </c>
      <c r="O16" s="23"/>
      <c r="P16" s="23"/>
    </row>
    <row r="17" spans="1:18" ht="22.5" customHeight="1" x14ac:dyDescent="0.2">
      <c r="A17" s="21" t="s">
        <v>53</v>
      </c>
      <c r="B17" s="22">
        <v>13230</v>
      </c>
      <c r="C17" s="22">
        <v>14242</v>
      </c>
      <c r="D17" s="22">
        <v>12539</v>
      </c>
      <c r="E17" s="22">
        <v>13427</v>
      </c>
      <c r="F17" s="22">
        <v>12497</v>
      </c>
      <c r="G17" s="22">
        <v>12615</v>
      </c>
      <c r="H17" s="22">
        <v>12369</v>
      </c>
      <c r="I17" s="22">
        <v>13026</v>
      </c>
      <c r="J17" s="22">
        <v>13276</v>
      </c>
      <c r="K17" s="22">
        <v>12391</v>
      </c>
      <c r="L17" s="22">
        <v>12667</v>
      </c>
      <c r="M17" s="22">
        <v>12442</v>
      </c>
      <c r="N17" s="22">
        <f t="shared" si="2"/>
        <v>154721</v>
      </c>
      <c r="O17" s="23"/>
      <c r="P17" s="23"/>
    </row>
    <row r="18" spans="1:18" ht="22.5" customHeight="1" x14ac:dyDescent="0.2">
      <c r="A18" s="79" t="s">
        <v>54</v>
      </c>
      <c r="B18" s="80">
        <f>+B19+B20</f>
        <v>7217</v>
      </c>
      <c r="C18" s="80">
        <f>+C19+C20</f>
        <v>8071</v>
      </c>
      <c r="D18" s="80">
        <v>8099</v>
      </c>
      <c r="E18" s="80">
        <v>10002</v>
      </c>
      <c r="F18" s="80">
        <v>7927</v>
      </c>
      <c r="G18" s="80">
        <v>10891</v>
      </c>
      <c r="H18" s="80">
        <f>+H19+H20</f>
        <v>9952</v>
      </c>
      <c r="I18" s="80">
        <v>8772</v>
      </c>
      <c r="J18" s="80">
        <f>+J19+J20</f>
        <v>9764</v>
      </c>
      <c r="K18" s="80">
        <v>9355</v>
      </c>
      <c r="L18" s="80">
        <v>10307</v>
      </c>
      <c r="M18" s="80">
        <f>+M19+M20</f>
        <v>23200</v>
      </c>
      <c r="N18" s="80">
        <f t="shared" si="2"/>
        <v>123557</v>
      </c>
      <c r="O18" s="23"/>
      <c r="P18" s="23"/>
      <c r="Q18" s="23"/>
    </row>
    <row r="19" spans="1:18" ht="22.5" customHeight="1" x14ac:dyDescent="0.2">
      <c r="A19" s="81" t="s">
        <v>55</v>
      </c>
      <c r="B19" s="82">
        <v>0</v>
      </c>
      <c r="C19" s="82">
        <v>43</v>
      </c>
      <c r="D19" s="82">
        <v>15</v>
      </c>
      <c r="E19" s="82">
        <v>2</v>
      </c>
      <c r="F19" s="82">
        <v>7</v>
      </c>
      <c r="G19" s="82">
        <v>57</v>
      </c>
      <c r="H19" s="82">
        <v>354</v>
      </c>
      <c r="I19" s="82">
        <v>14</v>
      </c>
      <c r="J19" s="82">
        <v>1293</v>
      </c>
      <c r="K19" s="82">
        <v>110</v>
      </c>
      <c r="L19" s="82">
        <v>77</v>
      </c>
      <c r="M19" s="82">
        <v>3409</v>
      </c>
      <c r="N19" s="82">
        <v>5381</v>
      </c>
      <c r="O19" s="23"/>
      <c r="P19" s="23"/>
      <c r="Q19" s="23"/>
      <c r="R19" s="23"/>
    </row>
    <row r="20" spans="1:18" ht="22.5" customHeight="1" x14ac:dyDescent="0.2">
      <c r="A20" s="85" t="s">
        <v>56</v>
      </c>
      <c r="B20" s="83">
        <v>7217</v>
      </c>
      <c r="C20" s="83">
        <v>8028</v>
      </c>
      <c r="D20" s="83">
        <v>8084</v>
      </c>
      <c r="E20" s="83">
        <v>10000</v>
      </c>
      <c r="F20" s="83">
        <v>7920</v>
      </c>
      <c r="G20" s="83">
        <v>10834</v>
      </c>
      <c r="H20" s="83">
        <v>9598</v>
      </c>
      <c r="I20" s="83">
        <v>8758</v>
      </c>
      <c r="J20" s="83">
        <v>8471</v>
      </c>
      <c r="K20" s="83">
        <v>9245</v>
      </c>
      <c r="L20" s="83">
        <v>10230</v>
      </c>
      <c r="M20" s="83">
        <v>19791</v>
      </c>
      <c r="N20" s="83">
        <v>118176</v>
      </c>
      <c r="P20" s="23"/>
      <c r="Q20" s="23"/>
    </row>
    <row r="21" spans="1:18" ht="15.75" customHeight="1" x14ac:dyDescent="0.2">
      <c r="I21" s="23"/>
      <c r="J21" s="23"/>
      <c r="K21" s="23"/>
      <c r="L21" s="23"/>
      <c r="M21" s="23"/>
      <c r="N21" s="23"/>
      <c r="P21" s="23"/>
    </row>
    <row r="22" spans="1:18" ht="15.75" customHeight="1" x14ac:dyDescent="0.2">
      <c r="N22" s="23"/>
    </row>
    <row r="23" spans="1:18" ht="15.75" customHeight="1" x14ac:dyDescent="0.2">
      <c r="A23" s="24"/>
    </row>
    <row r="24" spans="1:18" ht="15.75" customHeight="1" x14ac:dyDescent="0.2">
      <c r="A24" s="24"/>
    </row>
    <row r="25" spans="1:18" ht="15.75" customHeight="1" x14ac:dyDescent="0.2">
      <c r="A25" s="25"/>
    </row>
    <row r="26" spans="1:18" ht="15.75" customHeight="1" x14ac:dyDescent="0.2"/>
    <row r="27" spans="1:18" ht="15.75" customHeight="1" x14ac:dyDescent="0.2"/>
  </sheetData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topLeftCell="A37" zoomScaleNormal="100" workbookViewId="0">
      <selection activeCell="D22" sqref="D22"/>
    </sheetView>
  </sheetViews>
  <sheetFormatPr defaultColWidth="3.42578125" defaultRowHeight="15" customHeight="1" x14ac:dyDescent="0.2"/>
  <cols>
    <col min="1" max="1" width="45.85546875" style="26" customWidth="1"/>
    <col min="2" max="2" width="16.7109375" style="26" customWidth="1"/>
    <col min="3" max="3" width="19" style="26" customWidth="1"/>
    <col min="4" max="4" width="19.28515625" style="26" customWidth="1"/>
    <col min="5" max="6" width="13.85546875" style="26" customWidth="1"/>
    <col min="7" max="8" width="10" style="26" customWidth="1"/>
    <col min="9" max="16384" width="3.42578125" style="26"/>
  </cols>
  <sheetData>
    <row r="1" spans="1:11" ht="15" customHeight="1" x14ac:dyDescent="0.2">
      <c r="H1" s="27"/>
    </row>
    <row r="3" spans="1:11" ht="15" customHeight="1" x14ac:dyDescent="0.2">
      <c r="C3" s="28"/>
      <c r="D3" s="28"/>
      <c r="I3" s="28"/>
    </row>
    <row r="4" spans="1:11" s="29" customFormat="1" ht="15" customHeight="1" x14ac:dyDescent="0.2">
      <c r="H4" s="30"/>
    </row>
    <row r="5" spans="1:11" s="29" customFormat="1" ht="15" customHeight="1" x14ac:dyDescent="0.2">
      <c r="C5" s="31"/>
      <c r="D5" s="31"/>
      <c r="I5" s="31"/>
      <c r="J5" s="31"/>
    </row>
    <row r="6" spans="1:11" s="29" customFormat="1" ht="15" customHeight="1" x14ac:dyDescent="0.2">
      <c r="I6" s="31"/>
      <c r="J6" s="31"/>
    </row>
    <row r="7" spans="1:11" s="29" customFormat="1" ht="15" customHeight="1" x14ac:dyDescent="0.2">
      <c r="A7" s="29" t="s">
        <v>5</v>
      </c>
      <c r="I7" s="31"/>
      <c r="J7" s="31"/>
    </row>
    <row r="8" spans="1:11" s="29" customFormat="1" ht="15" customHeight="1" x14ac:dyDescent="0.2">
      <c r="I8" s="31"/>
      <c r="J8" s="31"/>
    </row>
    <row r="9" spans="1:11" s="29" customFormat="1" ht="15" customHeight="1" x14ac:dyDescent="0.2">
      <c r="H9" s="30" t="s">
        <v>3</v>
      </c>
      <c r="I9" s="31"/>
      <c r="J9" s="32"/>
    </row>
    <row r="10" spans="1:11" s="29" customFormat="1" ht="25.5" customHeight="1" x14ac:dyDescent="0.2">
      <c r="A10" s="621" t="s">
        <v>6</v>
      </c>
      <c r="B10" s="620" t="s">
        <v>89</v>
      </c>
      <c r="C10" s="622" t="s">
        <v>164</v>
      </c>
      <c r="D10" s="622"/>
      <c r="E10" s="622" t="s">
        <v>162</v>
      </c>
      <c r="F10" s="623"/>
      <c r="G10" s="619" t="s">
        <v>167</v>
      </c>
      <c r="H10" s="619" t="s">
        <v>168</v>
      </c>
      <c r="I10" s="31"/>
      <c r="J10" s="32"/>
    </row>
    <row r="11" spans="1:11" s="29" customFormat="1" ht="25.5" customHeight="1" x14ac:dyDescent="0.2">
      <c r="A11" s="621"/>
      <c r="B11" s="620"/>
      <c r="C11" s="90">
        <v>2013</v>
      </c>
      <c r="D11" s="90">
        <v>2014</v>
      </c>
      <c r="E11" s="152" t="s">
        <v>165</v>
      </c>
      <c r="F11" s="152" t="s">
        <v>166</v>
      </c>
      <c r="G11" s="620"/>
      <c r="H11" s="620"/>
      <c r="J11" s="34"/>
      <c r="K11" s="34"/>
    </row>
    <row r="12" spans="1:11" s="29" customFormat="1" ht="15" customHeight="1" x14ac:dyDescent="0.2">
      <c r="A12" s="33" t="s">
        <v>0</v>
      </c>
      <c r="B12" s="33">
        <v>1</v>
      </c>
      <c r="C12" s="35">
        <v>2</v>
      </c>
      <c r="D12" s="35">
        <v>3</v>
      </c>
      <c r="E12" s="33">
        <v>4</v>
      </c>
      <c r="F12" s="33">
        <v>5</v>
      </c>
      <c r="G12" s="33">
        <v>6</v>
      </c>
      <c r="H12" s="35">
        <v>7</v>
      </c>
      <c r="J12" s="34"/>
      <c r="K12" s="34"/>
    </row>
    <row r="13" spans="1:11" s="29" customFormat="1" ht="17.25" customHeight="1" x14ac:dyDescent="0.2">
      <c r="A13" s="36" t="s">
        <v>7</v>
      </c>
      <c r="B13" s="37"/>
      <c r="C13" s="38"/>
      <c r="D13" s="38"/>
      <c r="E13" s="37"/>
      <c r="F13" s="37"/>
      <c r="G13" s="37"/>
      <c r="H13" s="38"/>
      <c r="J13" s="34"/>
      <c r="K13" s="34"/>
    </row>
    <row r="14" spans="1:11" s="29" customFormat="1" ht="15" customHeight="1" x14ac:dyDescent="0.2">
      <c r="A14" s="39" t="s">
        <v>8</v>
      </c>
      <c r="B14" s="40">
        <v>295438</v>
      </c>
      <c r="C14" s="40">
        <v>264305</v>
      </c>
      <c r="D14" s="40">
        <v>254749</v>
      </c>
      <c r="E14" s="40">
        <f>+D14-B14</f>
        <v>-40689</v>
      </c>
      <c r="F14" s="40">
        <f>+D14-C14</f>
        <v>-9556</v>
      </c>
      <c r="G14" s="41">
        <f>+D14/B14*100</f>
        <v>86.227567205301952</v>
      </c>
      <c r="H14" s="41">
        <f>+D14/C14*100</f>
        <v>96.384480051455697</v>
      </c>
      <c r="J14" s="42"/>
      <c r="K14" s="43"/>
    </row>
    <row r="15" spans="1:11" s="29" customFormat="1" ht="15" customHeight="1" x14ac:dyDescent="0.2">
      <c r="A15" s="44" t="s">
        <v>9</v>
      </c>
      <c r="B15" s="45">
        <v>10665</v>
      </c>
      <c r="C15" s="40">
        <v>8988</v>
      </c>
      <c r="D15" s="40">
        <v>8722</v>
      </c>
      <c r="E15" s="40">
        <f t="shared" ref="E15:E68" si="0">+D15-B15</f>
        <v>-1943</v>
      </c>
      <c r="F15" s="40">
        <f>+D15-C15</f>
        <v>-266</v>
      </c>
      <c r="G15" s="41">
        <f>+D15/B15*100</f>
        <v>81.781528363806842</v>
      </c>
      <c r="H15" s="41">
        <f>+D15/C15*100</f>
        <v>97.040498442367607</v>
      </c>
      <c r="J15" s="42"/>
      <c r="K15" s="43"/>
    </row>
    <row r="16" spans="1:11" s="29" customFormat="1" ht="15" customHeight="1" x14ac:dyDescent="0.2">
      <c r="A16" s="44" t="s">
        <v>10</v>
      </c>
      <c r="B16" s="45">
        <v>56</v>
      </c>
      <c r="C16" s="40">
        <v>43</v>
      </c>
      <c r="D16" s="40">
        <v>72</v>
      </c>
      <c r="E16" s="40">
        <f t="shared" si="0"/>
        <v>16</v>
      </c>
      <c r="F16" s="40">
        <f>+D16-C16</f>
        <v>29</v>
      </c>
      <c r="G16" s="41">
        <f>+D16/B16*100</f>
        <v>128.57142857142858</v>
      </c>
      <c r="H16" s="41">
        <f>+D16/C16*100</f>
        <v>167.44186046511629</v>
      </c>
      <c r="J16" s="42"/>
      <c r="K16" s="43"/>
    </row>
    <row r="17" spans="1:11" s="29" customFormat="1" ht="15" customHeight="1" x14ac:dyDescent="0.2">
      <c r="A17" s="44" t="s">
        <v>11</v>
      </c>
      <c r="B17" s="45">
        <v>132016</v>
      </c>
      <c r="C17" s="46">
        <v>126098</v>
      </c>
      <c r="D17" s="46">
        <v>117269</v>
      </c>
      <c r="E17" s="40">
        <f t="shared" si="0"/>
        <v>-14747</v>
      </c>
      <c r="F17" s="40">
        <f>+D17-C17</f>
        <v>-8829</v>
      </c>
      <c r="G17" s="41">
        <f>+D17/B17*100</f>
        <v>88.829384317052472</v>
      </c>
      <c r="H17" s="41">
        <f>+D17/C17*100</f>
        <v>92.998302907262612</v>
      </c>
      <c r="J17" s="42"/>
      <c r="K17" s="43"/>
    </row>
    <row r="18" spans="1:11" s="29" customFormat="1" ht="15" customHeight="1" x14ac:dyDescent="0.2">
      <c r="A18" s="93" t="s">
        <v>95</v>
      </c>
      <c r="B18" s="45">
        <v>0</v>
      </c>
      <c r="C18" s="46">
        <v>0</v>
      </c>
      <c r="D18" s="46">
        <v>-2</v>
      </c>
      <c r="E18" s="40">
        <f t="shared" si="0"/>
        <v>-2</v>
      </c>
      <c r="F18" s="40">
        <f t="shared" ref="F18:F19" si="1">+D18-C18</f>
        <v>-2</v>
      </c>
      <c r="G18" s="41">
        <v>0</v>
      </c>
      <c r="H18" s="41">
        <v>0</v>
      </c>
      <c r="J18" s="42"/>
      <c r="K18" s="43"/>
    </row>
    <row r="19" spans="1:11" s="29" customFormat="1" ht="15" customHeight="1" x14ac:dyDescent="0.2">
      <c r="A19" s="93" t="s">
        <v>98</v>
      </c>
      <c r="B19" s="45">
        <v>0</v>
      </c>
      <c r="C19" s="46">
        <v>0</v>
      </c>
      <c r="D19" s="46">
        <v>2</v>
      </c>
      <c r="E19" s="40">
        <f t="shared" si="0"/>
        <v>2</v>
      </c>
      <c r="F19" s="40">
        <f t="shared" si="1"/>
        <v>2</v>
      </c>
      <c r="G19" s="41">
        <v>0</v>
      </c>
      <c r="H19" s="41">
        <v>0</v>
      </c>
      <c r="J19" s="42"/>
      <c r="K19" s="43"/>
    </row>
    <row r="20" spans="1:11" s="29" customFormat="1" ht="15" customHeight="1" x14ac:dyDescent="0.2">
      <c r="A20" s="47" t="s">
        <v>12</v>
      </c>
      <c r="B20" s="48">
        <f>SUM(B14:B19)</f>
        <v>438175</v>
      </c>
      <c r="C20" s="48">
        <f t="shared" ref="C20:D20" si="2">SUM(C14:C19)</f>
        <v>399434</v>
      </c>
      <c r="D20" s="48">
        <f t="shared" si="2"/>
        <v>380812</v>
      </c>
      <c r="E20" s="49">
        <f t="shared" si="0"/>
        <v>-57363</v>
      </c>
      <c r="F20" s="48">
        <f t="shared" ref="F20" si="3">SUM(F14:F19)</f>
        <v>-18622</v>
      </c>
      <c r="G20" s="50">
        <f>+D20/B20*100</f>
        <v>86.908655217664176</v>
      </c>
      <c r="H20" s="50">
        <f t="shared" ref="H20" si="4">+D20/C20*100</f>
        <v>95.337903132933093</v>
      </c>
      <c r="J20" s="42"/>
      <c r="K20" s="43"/>
    </row>
    <row r="21" spans="1:11" ht="15" customHeight="1" x14ac:dyDescent="0.2">
      <c r="A21" s="51" t="s">
        <v>13</v>
      </c>
      <c r="B21" s="51"/>
      <c r="C21" s="51"/>
      <c r="D21" s="51"/>
      <c r="E21" s="40"/>
      <c r="F21" s="40"/>
      <c r="G21" s="51"/>
      <c r="H21" s="51"/>
    </row>
    <row r="22" spans="1:11" ht="15" customHeight="1" x14ac:dyDescent="0.2">
      <c r="A22" s="51" t="s">
        <v>14</v>
      </c>
      <c r="B22" s="52">
        <v>4522092</v>
      </c>
      <c r="C22" s="54">
        <v>4391172</v>
      </c>
      <c r="D22" s="53">
        <v>4722099</v>
      </c>
      <c r="E22" s="40">
        <f t="shared" si="0"/>
        <v>200007</v>
      </c>
      <c r="F22" s="40">
        <f t="shared" ref="F22:F68" si="5">+D22-C22</f>
        <v>330927</v>
      </c>
      <c r="G22" s="41">
        <f>+D22/B22*100</f>
        <v>104.42288657550532</v>
      </c>
      <c r="H22" s="41">
        <f t="shared" ref="H22:H28" si="6">+D22/C22*100</f>
        <v>107.53618851641428</v>
      </c>
    </row>
    <row r="23" spans="1:11" ht="15" customHeight="1" x14ac:dyDescent="0.2">
      <c r="A23" s="51" t="s">
        <v>15</v>
      </c>
      <c r="B23" s="54">
        <v>136461</v>
      </c>
      <c r="C23" s="54">
        <v>117644</v>
      </c>
      <c r="D23" s="53">
        <v>102890</v>
      </c>
      <c r="E23" s="40">
        <f t="shared" si="0"/>
        <v>-33571</v>
      </c>
      <c r="F23" s="40">
        <f t="shared" si="5"/>
        <v>-14754</v>
      </c>
      <c r="G23" s="41">
        <f>+D23/B23*100</f>
        <v>75.398831900689572</v>
      </c>
      <c r="H23" s="41">
        <f t="shared" si="6"/>
        <v>87.458773928122142</v>
      </c>
    </row>
    <row r="24" spans="1:11" ht="15" customHeight="1" x14ac:dyDescent="0.2">
      <c r="A24" s="51" t="s">
        <v>16</v>
      </c>
      <c r="B24" s="54">
        <v>458010</v>
      </c>
      <c r="C24" s="54">
        <v>443140</v>
      </c>
      <c r="D24" s="53">
        <v>458833</v>
      </c>
      <c r="E24" s="40">
        <f t="shared" si="0"/>
        <v>823</v>
      </c>
      <c r="F24" s="40">
        <f t="shared" si="5"/>
        <v>15693</v>
      </c>
      <c r="G24" s="41">
        <f>+D24/B24*100</f>
        <v>100.17969039977292</v>
      </c>
      <c r="H24" s="41">
        <f t="shared" si="6"/>
        <v>103.5413187705917</v>
      </c>
    </row>
    <row r="25" spans="1:11" ht="15" customHeight="1" x14ac:dyDescent="0.2">
      <c r="A25" s="51" t="s">
        <v>17</v>
      </c>
      <c r="B25" s="54">
        <v>39245</v>
      </c>
      <c r="C25" s="54">
        <v>37756</v>
      </c>
      <c r="D25" s="53">
        <v>40903</v>
      </c>
      <c r="E25" s="40">
        <f t="shared" si="0"/>
        <v>1658</v>
      </c>
      <c r="F25" s="40">
        <f t="shared" si="5"/>
        <v>3147</v>
      </c>
      <c r="G25" s="41">
        <f>+D25/B25*100</f>
        <v>104.22474200535099</v>
      </c>
      <c r="H25" s="41">
        <f t="shared" si="6"/>
        <v>108.33509905710351</v>
      </c>
    </row>
    <row r="26" spans="1:11" ht="15" customHeight="1" x14ac:dyDescent="0.2">
      <c r="A26" s="51" t="s">
        <v>18</v>
      </c>
      <c r="B26" s="54">
        <v>4076</v>
      </c>
      <c r="C26" s="54">
        <v>2855</v>
      </c>
      <c r="D26" s="53">
        <v>2449</v>
      </c>
      <c r="E26" s="40">
        <f t="shared" si="0"/>
        <v>-1627</v>
      </c>
      <c r="F26" s="40">
        <f t="shared" si="5"/>
        <v>-406</v>
      </c>
      <c r="G26" s="41">
        <f>+D26/B26*100</f>
        <v>60.083415112855739</v>
      </c>
      <c r="H26" s="41">
        <f t="shared" si="6"/>
        <v>85.779334500875663</v>
      </c>
    </row>
    <row r="27" spans="1:11" ht="15" customHeight="1" x14ac:dyDescent="0.2">
      <c r="A27" s="51" t="s">
        <v>19</v>
      </c>
      <c r="B27" s="54">
        <v>0</v>
      </c>
      <c r="C27" s="54">
        <v>174</v>
      </c>
      <c r="D27" s="53">
        <v>922</v>
      </c>
      <c r="E27" s="40">
        <f t="shared" si="0"/>
        <v>922</v>
      </c>
      <c r="F27" s="40">
        <f t="shared" si="5"/>
        <v>748</v>
      </c>
      <c r="G27" s="41">
        <v>0</v>
      </c>
      <c r="H27" s="41">
        <f t="shared" si="6"/>
        <v>529.8850574712643</v>
      </c>
    </row>
    <row r="28" spans="1:11" ht="15" customHeight="1" x14ac:dyDescent="0.2">
      <c r="A28" s="55" t="s">
        <v>4</v>
      </c>
      <c r="B28" s="56">
        <f>B22+B23+B24+B25+B26+B27</f>
        <v>5159884</v>
      </c>
      <c r="C28" s="56">
        <v>4992741</v>
      </c>
      <c r="D28" s="56">
        <v>5328096</v>
      </c>
      <c r="E28" s="49">
        <f t="shared" si="0"/>
        <v>168212</v>
      </c>
      <c r="F28" s="49">
        <f t="shared" si="5"/>
        <v>335355</v>
      </c>
      <c r="G28" s="50">
        <f>+D28/B28*100</f>
        <v>103.25999576734671</v>
      </c>
      <c r="H28" s="50">
        <f t="shared" si="6"/>
        <v>106.71685152504406</v>
      </c>
    </row>
    <row r="29" spans="1:11" ht="15" customHeight="1" x14ac:dyDescent="0.2">
      <c r="A29" s="51" t="s">
        <v>20</v>
      </c>
      <c r="B29" s="54"/>
      <c r="C29" s="54"/>
      <c r="D29" s="54"/>
      <c r="E29" s="40"/>
      <c r="F29" s="40"/>
      <c r="G29" s="54"/>
      <c r="H29" s="54"/>
    </row>
    <row r="30" spans="1:11" ht="15" customHeight="1" x14ac:dyDescent="0.2">
      <c r="A30" s="51" t="s">
        <v>21</v>
      </c>
      <c r="B30" s="54">
        <v>769696</v>
      </c>
      <c r="C30" s="54">
        <v>743595</v>
      </c>
      <c r="D30" s="53">
        <v>756985</v>
      </c>
      <c r="E30" s="40">
        <f t="shared" si="0"/>
        <v>-12711</v>
      </c>
      <c r="F30" s="40">
        <f t="shared" si="5"/>
        <v>13390</v>
      </c>
      <c r="G30" s="41">
        <f>+D30/B30*100</f>
        <v>98.348568785598474</v>
      </c>
      <c r="H30" s="41">
        <f t="shared" ref="H30:H67" si="7">+D30/C30*100</f>
        <v>101.80071140876419</v>
      </c>
    </row>
    <row r="31" spans="1:11" ht="15" customHeight="1" x14ac:dyDescent="0.2">
      <c r="A31" s="51" t="s">
        <v>16</v>
      </c>
      <c r="B31" s="54">
        <v>114712</v>
      </c>
      <c r="C31" s="54">
        <v>105562</v>
      </c>
      <c r="D31" s="53">
        <v>104112</v>
      </c>
      <c r="E31" s="40">
        <f t="shared" si="0"/>
        <v>-10600</v>
      </c>
      <c r="F31" s="40">
        <f t="shared" si="5"/>
        <v>-1450</v>
      </c>
      <c r="G31" s="41">
        <f>+D31/B31*100</f>
        <v>90.759467187391024</v>
      </c>
      <c r="H31" s="41">
        <f t="shared" si="7"/>
        <v>98.626399651389704</v>
      </c>
    </row>
    <row r="32" spans="1:11" ht="15" customHeight="1" x14ac:dyDescent="0.2">
      <c r="A32" s="51" t="s">
        <v>22</v>
      </c>
      <c r="B32" s="54">
        <v>13912</v>
      </c>
      <c r="C32" s="54">
        <v>12421</v>
      </c>
      <c r="D32" s="53">
        <v>13323</v>
      </c>
      <c r="E32" s="40">
        <f t="shared" si="0"/>
        <v>-589</v>
      </c>
      <c r="F32" s="40">
        <f t="shared" si="5"/>
        <v>902</v>
      </c>
      <c r="G32" s="41">
        <f>+D32/B32*100</f>
        <v>95.766244968372632</v>
      </c>
      <c r="H32" s="41">
        <f t="shared" si="7"/>
        <v>107.26189517752194</v>
      </c>
    </row>
    <row r="33" spans="1:8" ht="15" customHeight="1" x14ac:dyDescent="0.2">
      <c r="A33" s="51" t="s">
        <v>18</v>
      </c>
      <c r="B33" s="54">
        <v>45039</v>
      </c>
      <c r="C33" s="54">
        <v>39678</v>
      </c>
      <c r="D33" s="53">
        <v>39268</v>
      </c>
      <c r="E33" s="40">
        <f t="shared" si="0"/>
        <v>-5771</v>
      </c>
      <c r="F33" s="40">
        <f t="shared" si="5"/>
        <v>-410</v>
      </c>
      <c r="G33" s="41">
        <f>+D33/B33*100</f>
        <v>87.18666044983236</v>
      </c>
      <c r="H33" s="41">
        <f t="shared" si="7"/>
        <v>98.966681788396599</v>
      </c>
    </row>
    <row r="34" spans="1:8" ht="15" customHeight="1" x14ac:dyDescent="0.2">
      <c r="A34" s="51" t="s">
        <v>19</v>
      </c>
      <c r="B34" s="54">
        <v>0</v>
      </c>
      <c r="C34" s="54">
        <v>198</v>
      </c>
      <c r="D34" s="53">
        <v>226</v>
      </c>
      <c r="E34" s="40">
        <f t="shared" si="0"/>
        <v>226</v>
      </c>
      <c r="F34" s="40">
        <f t="shared" si="5"/>
        <v>28</v>
      </c>
      <c r="G34" s="41">
        <v>0</v>
      </c>
      <c r="H34" s="41">
        <f t="shared" si="7"/>
        <v>114.14141414141415</v>
      </c>
    </row>
    <row r="35" spans="1:8" ht="15" customHeight="1" x14ac:dyDescent="0.2">
      <c r="A35" s="55" t="s">
        <v>4</v>
      </c>
      <c r="B35" s="56">
        <f>B30+B31+B32+B33+B34</f>
        <v>943359</v>
      </c>
      <c r="C35" s="56">
        <v>901454</v>
      </c>
      <c r="D35" s="56">
        <v>913914</v>
      </c>
      <c r="E35" s="49">
        <f t="shared" si="0"/>
        <v>-29445</v>
      </c>
      <c r="F35" s="49">
        <f t="shared" si="5"/>
        <v>12460</v>
      </c>
      <c r="G35" s="50">
        <f>+D35/B35*100</f>
        <v>96.878706833771673</v>
      </c>
      <c r="H35" s="50">
        <f t="shared" si="7"/>
        <v>101.38221140512994</v>
      </c>
    </row>
    <row r="36" spans="1:8" ht="15" customHeight="1" x14ac:dyDescent="0.2">
      <c r="A36" s="51" t="s">
        <v>23</v>
      </c>
      <c r="B36" s="54"/>
      <c r="C36" s="51"/>
      <c r="D36" s="51"/>
      <c r="E36" s="40"/>
      <c r="F36" s="40"/>
      <c r="G36" s="54"/>
      <c r="H36" s="54"/>
    </row>
    <row r="37" spans="1:8" ht="15" customHeight="1" x14ac:dyDescent="0.2">
      <c r="A37" s="51" t="s">
        <v>14</v>
      </c>
      <c r="B37" s="52">
        <f t="shared" ref="B37:D37" si="8">+B22</f>
        <v>4522092</v>
      </c>
      <c r="C37" s="52">
        <f t="shared" si="8"/>
        <v>4391172</v>
      </c>
      <c r="D37" s="52">
        <f t="shared" si="8"/>
        <v>4722099</v>
      </c>
      <c r="E37" s="40">
        <f t="shared" si="0"/>
        <v>200007</v>
      </c>
      <c r="F37" s="40">
        <f t="shared" si="5"/>
        <v>330927</v>
      </c>
      <c r="G37" s="41">
        <f t="shared" ref="G37:G42" si="9">+D37/B37*100</f>
        <v>104.42288657550532</v>
      </c>
      <c r="H37" s="41">
        <f t="shared" si="7"/>
        <v>107.53618851641428</v>
      </c>
    </row>
    <row r="38" spans="1:8" ht="15" customHeight="1" x14ac:dyDescent="0.2">
      <c r="A38" s="51" t="s">
        <v>15</v>
      </c>
      <c r="B38" s="52">
        <f>+B23</f>
        <v>136461</v>
      </c>
      <c r="C38" s="52">
        <f t="shared" ref="C38:D38" si="10">+C23</f>
        <v>117644</v>
      </c>
      <c r="D38" s="52">
        <f t="shared" si="10"/>
        <v>102890</v>
      </c>
      <c r="E38" s="40">
        <f t="shared" si="0"/>
        <v>-33571</v>
      </c>
      <c r="F38" s="40">
        <f t="shared" si="5"/>
        <v>-14754</v>
      </c>
      <c r="G38" s="41">
        <f t="shared" si="9"/>
        <v>75.398831900689572</v>
      </c>
      <c r="H38" s="41">
        <f t="shared" si="7"/>
        <v>87.458773928122142</v>
      </c>
    </row>
    <row r="39" spans="1:8" ht="15" customHeight="1" x14ac:dyDescent="0.2">
      <c r="A39" s="51" t="s">
        <v>21</v>
      </c>
      <c r="B39" s="52">
        <f>+B30</f>
        <v>769696</v>
      </c>
      <c r="C39" s="52">
        <f t="shared" ref="C39:D39" si="11">+C30</f>
        <v>743595</v>
      </c>
      <c r="D39" s="52">
        <f t="shared" si="11"/>
        <v>756985</v>
      </c>
      <c r="E39" s="40">
        <f t="shared" si="0"/>
        <v>-12711</v>
      </c>
      <c r="F39" s="40">
        <f t="shared" si="5"/>
        <v>13390</v>
      </c>
      <c r="G39" s="41">
        <f t="shared" si="9"/>
        <v>98.348568785598474</v>
      </c>
      <c r="H39" s="41">
        <f t="shared" si="7"/>
        <v>101.80071140876419</v>
      </c>
    </row>
    <row r="40" spans="1:8" ht="15" customHeight="1" x14ac:dyDescent="0.2">
      <c r="A40" s="51" t="s">
        <v>16</v>
      </c>
      <c r="B40" s="52">
        <f>+B24+B31</f>
        <v>572722</v>
      </c>
      <c r="C40" s="52">
        <f t="shared" ref="C40:D40" si="12">+C24+C31</f>
        <v>548702</v>
      </c>
      <c r="D40" s="52">
        <f t="shared" si="12"/>
        <v>562945</v>
      </c>
      <c r="E40" s="40">
        <f t="shared" si="0"/>
        <v>-9777</v>
      </c>
      <c r="F40" s="40">
        <f t="shared" si="5"/>
        <v>14243</v>
      </c>
      <c r="G40" s="41">
        <f t="shared" si="9"/>
        <v>98.292889045645182</v>
      </c>
      <c r="H40" s="41">
        <f t="shared" si="7"/>
        <v>102.59576236281261</v>
      </c>
    </row>
    <row r="41" spans="1:8" ht="15" customHeight="1" x14ac:dyDescent="0.2">
      <c r="A41" s="51" t="s">
        <v>17</v>
      </c>
      <c r="B41" s="52">
        <f t="shared" ref="B41:D43" si="13">+B25+B32</f>
        <v>53157</v>
      </c>
      <c r="C41" s="52">
        <f t="shared" si="13"/>
        <v>50177</v>
      </c>
      <c r="D41" s="52">
        <f t="shared" si="13"/>
        <v>54226</v>
      </c>
      <c r="E41" s="40">
        <f t="shared" si="0"/>
        <v>1069</v>
      </c>
      <c r="F41" s="40">
        <f t="shared" si="5"/>
        <v>4049</v>
      </c>
      <c r="G41" s="41">
        <f t="shared" si="9"/>
        <v>102.01102394792782</v>
      </c>
      <c r="H41" s="41">
        <f t="shared" si="7"/>
        <v>108.06943420292166</v>
      </c>
    </row>
    <row r="42" spans="1:8" ht="15" customHeight="1" x14ac:dyDescent="0.2">
      <c r="A42" s="51" t="s">
        <v>18</v>
      </c>
      <c r="B42" s="52">
        <f t="shared" si="13"/>
        <v>49115</v>
      </c>
      <c r="C42" s="52">
        <f t="shared" si="13"/>
        <v>42533</v>
      </c>
      <c r="D42" s="52">
        <f t="shared" si="13"/>
        <v>41717</v>
      </c>
      <c r="E42" s="40">
        <f t="shared" si="0"/>
        <v>-7398</v>
      </c>
      <c r="F42" s="40">
        <f t="shared" si="5"/>
        <v>-816</v>
      </c>
      <c r="G42" s="41">
        <f t="shared" si="9"/>
        <v>84.937391835488143</v>
      </c>
      <c r="H42" s="41">
        <f t="shared" si="7"/>
        <v>98.08148966684692</v>
      </c>
    </row>
    <row r="43" spans="1:8" ht="15" customHeight="1" x14ac:dyDescent="0.2">
      <c r="A43" s="51" t="s">
        <v>19</v>
      </c>
      <c r="B43" s="52">
        <f t="shared" si="13"/>
        <v>0</v>
      </c>
      <c r="C43" s="52">
        <f t="shared" si="13"/>
        <v>372</v>
      </c>
      <c r="D43" s="52">
        <f t="shared" si="13"/>
        <v>1148</v>
      </c>
      <c r="E43" s="40">
        <f t="shared" si="0"/>
        <v>1148</v>
      </c>
      <c r="F43" s="40">
        <f t="shared" si="5"/>
        <v>776</v>
      </c>
      <c r="G43" s="41">
        <v>0</v>
      </c>
      <c r="H43" s="41">
        <f t="shared" si="7"/>
        <v>308.60215053763443</v>
      </c>
    </row>
    <row r="44" spans="1:8" ht="15" customHeight="1" x14ac:dyDescent="0.2">
      <c r="A44" s="55" t="s">
        <v>24</v>
      </c>
      <c r="B44" s="56">
        <f>SUM(B37:B43)</f>
        <v>6103243</v>
      </c>
      <c r="C44" s="56">
        <f t="shared" ref="C44:D44" si="14">SUM(C37:C43)</f>
        <v>5894195</v>
      </c>
      <c r="D44" s="56">
        <f t="shared" si="14"/>
        <v>6242010</v>
      </c>
      <c r="E44" s="49">
        <f t="shared" si="0"/>
        <v>138767</v>
      </c>
      <c r="F44" s="49">
        <f t="shared" si="5"/>
        <v>347815</v>
      </c>
      <c r="G44" s="50">
        <f>+D44/B44*100</f>
        <v>102.27366008530218</v>
      </c>
      <c r="H44" s="50">
        <f>+D44/C44*100</f>
        <v>105.90097545127028</v>
      </c>
    </row>
    <row r="45" spans="1:8" ht="15" customHeight="1" x14ac:dyDescent="0.2">
      <c r="A45" s="51" t="s">
        <v>25</v>
      </c>
      <c r="B45" s="51"/>
      <c r="C45" s="51"/>
      <c r="D45" s="51"/>
      <c r="E45" s="40"/>
      <c r="F45" s="40"/>
      <c r="G45" s="51"/>
      <c r="H45" s="51"/>
    </row>
    <row r="46" spans="1:8" ht="15" customHeight="1" x14ac:dyDescent="0.2">
      <c r="A46" s="54" t="s">
        <v>26</v>
      </c>
      <c r="B46" s="54">
        <v>3594</v>
      </c>
      <c r="C46" s="52">
        <v>3515</v>
      </c>
      <c r="D46" s="52">
        <v>3509</v>
      </c>
      <c r="E46" s="40">
        <f t="shared" si="0"/>
        <v>-85</v>
      </c>
      <c r="F46" s="40">
        <f t="shared" si="5"/>
        <v>-6</v>
      </c>
      <c r="G46" s="41">
        <f>+D46/B46*100</f>
        <v>97.634947134112409</v>
      </c>
      <c r="H46" s="41">
        <f t="shared" si="7"/>
        <v>99.829302987197721</v>
      </c>
    </row>
    <row r="47" spans="1:8" ht="15" customHeight="1" x14ac:dyDescent="0.2">
      <c r="A47" s="54" t="s">
        <v>27</v>
      </c>
      <c r="B47" s="54">
        <v>24354</v>
      </c>
      <c r="C47" s="52">
        <v>23141</v>
      </c>
      <c r="D47" s="52">
        <v>23862</v>
      </c>
      <c r="E47" s="40">
        <f t="shared" si="0"/>
        <v>-492</v>
      </c>
      <c r="F47" s="40">
        <f t="shared" si="5"/>
        <v>721</v>
      </c>
      <c r="G47" s="41">
        <f>+D47/B47*100</f>
        <v>97.979797979797979</v>
      </c>
      <c r="H47" s="41">
        <f t="shared" si="7"/>
        <v>103.11568212263947</v>
      </c>
    </row>
    <row r="48" spans="1:8" ht="15" customHeight="1" x14ac:dyDescent="0.2">
      <c r="A48" s="54" t="s">
        <v>28</v>
      </c>
      <c r="B48" s="54">
        <v>111</v>
      </c>
      <c r="C48" s="52">
        <v>140</v>
      </c>
      <c r="D48" s="52">
        <v>173</v>
      </c>
      <c r="E48" s="40">
        <f t="shared" si="0"/>
        <v>62</v>
      </c>
      <c r="F48" s="40">
        <f t="shared" si="5"/>
        <v>33</v>
      </c>
      <c r="G48" s="41">
        <f>+D48/B48*100</f>
        <v>155.85585585585585</v>
      </c>
      <c r="H48" s="41">
        <f t="shared" si="7"/>
        <v>123.57142857142858</v>
      </c>
    </row>
    <row r="49" spans="1:8" ht="15" customHeight="1" x14ac:dyDescent="0.2">
      <c r="A49" s="57" t="s">
        <v>29</v>
      </c>
      <c r="B49" s="57">
        <v>349</v>
      </c>
      <c r="C49" s="52">
        <v>327</v>
      </c>
      <c r="D49" s="52">
        <v>324</v>
      </c>
      <c r="E49" s="40">
        <f t="shared" si="0"/>
        <v>-25</v>
      </c>
      <c r="F49" s="40">
        <f t="shared" si="5"/>
        <v>-3</v>
      </c>
      <c r="G49" s="41">
        <f>+D49/B49*100</f>
        <v>92.836676217765046</v>
      </c>
      <c r="H49" s="41">
        <f t="shared" si="7"/>
        <v>99.082568807339456</v>
      </c>
    </row>
    <row r="50" spans="1:8" ht="15" customHeight="1" x14ac:dyDescent="0.2">
      <c r="A50" s="57" t="s">
        <v>30</v>
      </c>
      <c r="B50" s="57">
        <v>579</v>
      </c>
      <c r="C50" s="52">
        <v>479</v>
      </c>
      <c r="D50" s="52">
        <v>901</v>
      </c>
      <c r="E50" s="40">
        <f t="shared" si="0"/>
        <v>322</v>
      </c>
      <c r="F50" s="40">
        <f t="shared" si="5"/>
        <v>422</v>
      </c>
      <c r="G50" s="41">
        <f>+D50/B50*100</f>
        <v>155.61312607944734</v>
      </c>
      <c r="H50" s="41">
        <f t="shared" si="7"/>
        <v>188.10020876826724</v>
      </c>
    </row>
    <row r="51" spans="1:8" ht="15" customHeight="1" x14ac:dyDescent="0.2">
      <c r="A51" s="57" t="s">
        <v>31</v>
      </c>
      <c r="B51" s="57">
        <v>0</v>
      </c>
      <c r="C51" s="52">
        <v>0</v>
      </c>
      <c r="D51" s="52">
        <v>0</v>
      </c>
      <c r="E51" s="40">
        <f t="shared" si="0"/>
        <v>0</v>
      </c>
      <c r="F51" s="40">
        <f t="shared" si="5"/>
        <v>0</v>
      </c>
      <c r="G51" s="40">
        <v>0</v>
      </c>
      <c r="H51" s="40">
        <v>0</v>
      </c>
    </row>
    <row r="52" spans="1:8" ht="15" customHeight="1" x14ac:dyDescent="0.2">
      <c r="A52" s="51" t="s">
        <v>32</v>
      </c>
      <c r="B52" s="54">
        <v>0</v>
      </c>
      <c r="C52" s="52">
        <v>0</v>
      </c>
      <c r="D52" s="52">
        <v>0</v>
      </c>
      <c r="E52" s="40">
        <f t="shared" si="0"/>
        <v>0</v>
      </c>
      <c r="F52" s="40">
        <f t="shared" si="5"/>
        <v>0</v>
      </c>
      <c r="G52" s="40">
        <v>0</v>
      </c>
      <c r="H52" s="40">
        <v>0</v>
      </c>
    </row>
    <row r="53" spans="1:8" s="60" customFormat="1" ht="27.75" customHeight="1" x14ac:dyDescent="0.2">
      <c r="A53" s="58" t="s">
        <v>33</v>
      </c>
      <c r="B53" s="58">
        <v>14230</v>
      </c>
      <c r="C53" s="59">
        <v>13898</v>
      </c>
      <c r="D53" s="59">
        <v>13005</v>
      </c>
      <c r="E53" s="40">
        <f t="shared" si="0"/>
        <v>-1225</v>
      </c>
      <c r="F53" s="40">
        <f t="shared" si="5"/>
        <v>-893</v>
      </c>
      <c r="G53" s="45">
        <f>+D53/B53*100</f>
        <v>91.391426563598031</v>
      </c>
      <c r="H53" s="45">
        <f t="shared" si="7"/>
        <v>93.574615052525544</v>
      </c>
    </row>
    <row r="54" spans="1:8" ht="15" customHeight="1" x14ac:dyDescent="0.2">
      <c r="A54" s="51" t="s">
        <v>34</v>
      </c>
      <c r="B54" s="54">
        <v>107</v>
      </c>
      <c r="C54" s="52">
        <v>97</v>
      </c>
      <c r="D54" s="52">
        <v>111</v>
      </c>
      <c r="E54" s="40">
        <f t="shared" si="0"/>
        <v>4</v>
      </c>
      <c r="F54" s="40">
        <f t="shared" si="5"/>
        <v>14</v>
      </c>
      <c r="G54" s="41">
        <f>+D54/B54*100</f>
        <v>103.73831775700934</v>
      </c>
      <c r="H54" s="41">
        <f t="shared" si="7"/>
        <v>114.43298969072164</v>
      </c>
    </row>
    <row r="55" spans="1:8" ht="15" customHeight="1" x14ac:dyDescent="0.2">
      <c r="A55" s="51" t="s">
        <v>35</v>
      </c>
      <c r="B55" s="54">
        <v>71</v>
      </c>
      <c r="C55" s="52">
        <v>59</v>
      </c>
      <c r="D55" s="52">
        <v>74</v>
      </c>
      <c r="E55" s="40">
        <f t="shared" si="0"/>
        <v>3</v>
      </c>
      <c r="F55" s="40">
        <f t="shared" si="5"/>
        <v>15</v>
      </c>
      <c r="G55" s="41">
        <f>+D55/B55*100</f>
        <v>104.22535211267605</v>
      </c>
      <c r="H55" s="41">
        <f t="shared" si="7"/>
        <v>125.42372881355932</v>
      </c>
    </row>
    <row r="56" spans="1:8" ht="15" customHeight="1" x14ac:dyDescent="0.2">
      <c r="A56" s="51" t="s">
        <v>36</v>
      </c>
      <c r="B56" s="54">
        <v>162</v>
      </c>
      <c r="C56" s="52">
        <v>240</v>
      </c>
      <c r="D56" s="52">
        <v>158</v>
      </c>
      <c r="E56" s="40">
        <f t="shared" si="0"/>
        <v>-4</v>
      </c>
      <c r="F56" s="40">
        <f t="shared" si="5"/>
        <v>-82</v>
      </c>
      <c r="G56" s="41">
        <f>+D56/B56*100</f>
        <v>97.53086419753086</v>
      </c>
      <c r="H56" s="41">
        <f t="shared" si="7"/>
        <v>65.833333333333329</v>
      </c>
    </row>
    <row r="57" spans="1:8" ht="15" customHeight="1" x14ac:dyDescent="0.2">
      <c r="A57" s="51" t="s">
        <v>37</v>
      </c>
      <c r="B57" s="54">
        <v>0</v>
      </c>
      <c r="C57" s="61">
        <v>-107</v>
      </c>
      <c r="D57" s="61">
        <v>-146</v>
      </c>
      <c r="E57" s="40">
        <f t="shared" si="0"/>
        <v>-146</v>
      </c>
      <c r="F57" s="40">
        <f t="shared" si="5"/>
        <v>-39</v>
      </c>
      <c r="G57" s="41">
        <v>0</v>
      </c>
      <c r="H57" s="41">
        <f t="shared" si="7"/>
        <v>136.44859813084111</v>
      </c>
    </row>
    <row r="58" spans="1:8" ht="15" customHeight="1" x14ac:dyDescent="0.2">
      <c r="A58" s="62" t="s">
        <v>38</v>
      </c>
      <c r="B58" s="54">
        <v>2271</v>
      </c>
      <c r="C58" s="63">
        <v>2491</v>
      </c>
      <c r="D58" s="63">
        <v>2612</v>
      </c>
      <c r="E58" s="40">
        <f t="shared" si="0"/>
        <v>341</v>
      </c>
      <c r="F58" s="40">
        <f t="shared" si="5"/>
        <v>121</v>
      </c>
      <c r="G58" s="41">
        <f>+D58/B58*100</f>
        <v>115.01541171290182</v>
      </c>
      <c r="H58" s="41">
        <f t="shared" si="7"/>
        <v>104.85748695303091</v>
      </c>
    </row>
    <row r="59" spans="1:8" ht="15" customHeight="1" x14ac:dyDescent="0.2">
      <c r="A59" s="62" t="s">
        <v>24</v>
      </c>
      <c r="B59" s="56">
        <f>+B46+B47+B48+B49+B50+B51+B52+B53+B54+B55+B56+B57+B58</f>
        <v>45828</v>
      </c>
      <c r="C59" s="56">
        <f t="shared" ref="C59:D59" si="15">+C46+C47+C48+C49+C50+C51+C52+C53+C54+C55+C56+C57+C58</f>
        <v>44280</v>
      </c>
      <c r="D59" s="56">
        <f t="shared" si="15"/>
        <v>44583</v>
      </c>
      <c r="E59" s="49">
        <f t="shared" si="0"/>
        <v>-1245</v>
      </c>
      <c r="F59" s="49">
        <f t="shared" si="5"/>
        <v>303</v>
      </c>
      <c r="G59" s="50">
        <f>+D59/B59*100</f>
        <v>97.283320240900764</v>
      </c>
      <c r="H59" s="50">
        <f t="shared" si="7"/>
        <v>100.68428184281844</v>
      </c>
    </row>
    <row r="60" spans="1:8" ht="15" customHeight="1" x14ac:dyDescent="0.2">
      <c r="A60" s="64" t="s">
        <v>39</v>
      </c>
      <c r="B60" s="54"/>
      <c r="C60" s="54"/>
      <c r="D60" s="54"/>
      <c r="E60" s="40"/>
      <c r="F60" s="40"/>
      <c r="G60" s="65"/>
      <c r="H60" s="66"/>
    </row>
    <row r="61" spans="1:8" ht="15" customHeight="1" x14ac:dyDescent="0.2">
      <c r="A61" s="67" t="s">
        <v>40</v>
      </c>
      <c r="B61" s="68">
        <v>6687</v>
      </c>
      <c r="C61" s="68">
        <v>4862</v>
      </c>
      <c r="D61" s="91">
        <v>4127</v>
      </c>
      <c r="E61" s="40">
        <f t="shared" si="0"/>
        <v>-2560</v>
      </c>
      <c r="F61" s="40">
        <f t="shared" si="5"/>
        <v>-735</v>
      </c>
      <c r="G61" s="41">
        <f>+D61/B61*100</f>
        <v>61.716763870195898</v>
      </c>
      <c r="H61" s="41">
        <f t="shared" si="7"/>
        <v>84.882764294528997</v>
      </c>
    </row>
    <row r="62" spans="1:8" ht="15" customHeight="1" x14ac:dyDescent="0.2">
      <c r="A62" s="69" t="s">
        <v>41</v>
      </c>
      <c r="B62" s="70">
        <v>12495</v>
      </c>
      <c r="C62" s="70">
        <v>11436</v>
      </c>
      <c r="D62" s="70">
        <v>10106</v>
      </c>
      <c r="E62" s="40">
        <f t="shared" si="0"/>
        <v>-2389</v>
      </c>
      <c r="F62" s="40">
        <f t="shared" si="5"/>
        <v>-1330</v>
      </c>
      <c r="G62" s="41">
        <f>+D62/B62*100</f>
        <v>80.880352140856331</v>
      </c>
      <c r="H62" s="41">
        <f t="shared" si="7"/>
        <v>88.370059461350124</v>
      </c>
    </row>
    <row r="63" spans="1:8" ht="15" customHeight="1" x14ac:dyDescent="0.2">
      <c r="A63" s="71" t="s">
        <v>42</v>
      </c>
      <c r="B63" s="72">
        <f>+B61+B62</f>
        <v>19182</v>
      </c>
      <c r="C63" s="72">
        <f t="shared" ref="C63:D63" si="16">+C61+C62</f>
        <v>16298</v>
      </c>
      <c r="D63" s="72">
        <f t="shared" si="16"/>
        <v>14233</v>
      </c>
      <c r="E63" s="49">
        <f t="shared" si="0"/>
        <v>-4949</v>
      </c>
      <c r="F63" s="72">
        <f t="shared" si="5"/>
        <v>-2065</v>
      </c>
      <c r="G63" s="50">
        <f>+D63/B63*100</f>
        <v>74.199770618287971</v>
      </c>
      <c r="H63" s="50">
        <f>+D63/C63*100</f>
        <v>87.329733709657631</v>
      </c>
    </row>
    <row r="64" spans="1:8" ht="18" customHeight="1" x14ac:dyDescent="0.2">
      <c r="A64" s="51" t="s">
        <v>43</v>
      </c>
      <c r="B64" s="51"/>
      <c r="C64" s="51"/>
      <c r="D64" s="51"/>
      <c r="E64" s="40"/>
      <c r="F64" s="40"/>
      <c r="G64" s="65"/>
      <c r="H64" s="66"/>
    </row>
    <row r="65" spans="1:8" ht="14.25" customHeight="1" x14ac:dyDescent="0.2">
      <c r="A65" s="73" t="s">
        <v>44</v>
      </c>
      <c r="B65" s="54">
        <v>183395</v>
      </c>
      <c r="C65" s="54">
        <v>174407</v>
      </c>
      <c r="D65" s="54">
        <v>155597</v>
      </c>
      <c r="E65" s="40">
        <f t="shared" si="0"/>
        <v>-27798</v>
      </c>
      <c r="F65" s="40">
        <f t="shared" si="5"/>
        <v>-18810</v>
      </c>
      <c r="G65" s="41">
        <f>+D65/B65*100</f>
        <v>84.842552959459098</v>
      </c>
      <c r="H65" s="41">
        <f t="shared" si="7"/>
        <v>89.214882430177695</v>
      </c>
    </row>
    <row r="66" spans="1:8" ht="15" customHeight="1" x14ac:dyDescent="0.2">
      <c r="A66" s="73" t="s">
        <v>45</v>
      </c>
      <c r="B66" s="54">
        <v>0</v>
      </c>
      <c r="C66" s="54">
        <v>-265</v>
      </c>
      <c r="D66" s="54">
        <v>-1000</v>
      </c>
      <c r="E66" s="40">
        <f t="shared" si="0"/>
        <v>-1000</v>
      </c>
      <c r="F66" s="40">
        <f t="shared" si="5"/>
        <v>-735</v>
      </c>
      <c r="G66" s="41">
        <v>0</v>
      </c>
      <c r="H66" s="41">
        <f t="shared" si="7"/>
        <v>377.35849056603774</v>
      </c>
    </row>
    <row r="67" spans="1:8" ht="15" customHeight="1" x14ac:dyDescent="0.2">
      <c r="A67" s="73" t="s">
        <v>46</v>
      </c>
      <c r="B67" s="54">
        <v>0</v>
      </c>
      <c r="C67" s="54">
        <v>166</v>
      </c>
      <c r="D67" s="54">
        <v>124</v>
      </c>
      <c r="E67" s="40">
        <f t="shared" si="0"/>
        <v>124</v>
      </c>
      <c r="F67" s="40">
        <f t="shared" si="5"/>
        <v>-42</v>
      </c>
      <c r="G67" s="41">
        <v>0</v>
      </c>
      <c r="H67" s="41">
        <f t="shared" si="7"/>
        <v>74.698795180722882</v>
      </c>
    </row>
    <row r="68" spans="1:8" ht="17.25" customHeight="1" x14ac:dyDescent="0.2">
      <c r="A68" s="74" t="s">
        <v>24</v>
      </c>
      <c r="B68" s="56">
        <f>SUM(B65:B67)</f>
        <v>183395</v>
      </c>
      <c r="C68" s="56">
        <f t="shared" ref="C68:D68" si="17">SUM(C65:C67)</f>
        <v>174308</v>
      </c>
      <c r="D68" s="56">
        <f t="shared" si="17"/>
        <v>154721</v>
      </c>
      <c r="E68" s="49">
        <f t="shared" si="0"/>
        <v>-28674</v>
      </c>
      <c r="F68" s="49">
        <f t="shared" si="5"/>
        <v>-19587</v>
      </c>
      <c r="G68" s="50">
        <f>+D68/B68*100</f>
        <v>84.364895444259659</v>
      </c>
      <c r="H68" s="50">
        <f t="shared" ref="H68" si="18">+D68/C68*100</f>
        <v>88.762994240080772</v>
      </c>
    </row>
    <row r="70" spans="1:8" ht="15" customHeight="1" x14ac:dyDescent="0.2">
      <c r="D70" s="75"/>
    </row>
    <row r="71" spans="1:8" ht="15" customHeight="1" x14ac:dyDescent="0.2">
      <c r="A71" s="12"/>
    </row>
    <row r="72" spans="1:8" ht="15" customHeight="1" x14ac:dyDescent="0.2">
      <c r="A72" s="12"/>
    </row>
  </sheetData>
  <mergeCells count="6">
    <mergeCell ref="H10:H11"/>
    <mergeCell ref="A10:A11"/>
    <mergeCell ref="B10:B11"/>
    <mergeCell ref="C10:D10"/>
    <mergeCell ref="E10:F10"/>
    <mergeCell ref="G10:G1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workbookViewId="0">
      <selection activeCell="J43" sqref="J43"/>
    </sheetView>
  </sheetViews>
  <sheetFormatPr defaultRowHeight="12.75" x14ac:dyDescent="0.2"/>
  <cols>
    <col min="1" max="1" width="73.42578125" customWidth="1"/>
    <col min="2" max="3" width="14.140625" style="95" customWidth="1"/>
    <col min="4" max="4" width="13.7109375" style="94" customWidth="1"/>
    <col min="5" max="5" width="9.85546875" customWidth="1"/>
    <col min="6" max="6" width="9.5703125" customWidth="1"/>
    <col min="9" max="9" width="11.5703125" customWidth="1"/>
    <col min="10" max="10" width="11.85546875" customWidth="1"/>
  </cols>
  <sheetData>
    <row r="1" spans="1:12" x14ac:dyDescent="0.2">
      <c r="A1" s="176"/>
      <c r="F1" s="177"/>
    </row>
    <row r="4" spans="1:12" x14ac:dyDescent="0.2">
      <c r="A4" s="243" t="s">
        <v>172</v>
      </c>
    </row>
    <row r="5" spans="1:12" x14ac:dyDescent="0.2">
      <c r="A5" s="178"/>
    </row>
    <row r="6" spans="1:12" x14ac:dyDescent="0.2">
      <c r="A6" s="178"/>
    </row>
    <row r="7" spans="1:12" x14ac:dyDescent="0.2">
      <c r="A7" t="s">
        <v>173</v>
      </c>
      <c r="C7" s="179"/>
      <c r="F7" s="177" t="s">
        <v>3</v>
      </c>
    </row>
    <row r="8" spans="1:12" s="94" customFormat="1" ht="51" x14ac:dyDescent="0.2">
      <c r="A8" s="180" t="s">
        <v>1</v>
      </c>
      <c r="B8" s="181" t="s">
        <v>89</v>
      </c>
      <c r="C8" s="181" t="s">
        <v>174</v>
      </c>
      <c r="D8" s="182" t="s">
        <v>175</v>
      </c>
      <c r="E8" s="181" t="s">
        <v>176</v>
      </c>
      <c r="F8" s="183" t="s">
        <v>177</v>
      </c>
    </row>
    <row r="9" spans="1:12" s="187" customFormat="1" x14ac:dyDescent="0.2">
      <c r="A9" s="180" t="s">
        <v>0</v>
      </c>
      <c r="B9" s="181" t="s">
        <v>178</v>
      </c>
      <c r="C9" s="181" t="s">
        <v>179</v>
      </c>
      <c r="D9" s="184">
        <v>3</v>
      </c>
      <c r="E9" s="185">
        <v>4</v>
      </c>
      <c r="F9" s="186">
        <v>5</v>
      </c>
      <c r="K9" s="188"/>
    </row>
    <row r="10" spans="1:12" x14ac:dyDescent="0.2">
      <c r="A10" s="189" t="s">
        <v>180</v>
      </c>
      <c r="B10" s="190">
        <v>51530</v>
      </c>
      <c r="C10" s="191">
        <v>51530</v>
      </c>
      <c r="D10" s="175">
        <v>132736.71687</v>
      </c>
      <c r="E10" s="192">
        <v>257.5911447118184</v>
      </c>
      <c r="F10" s="193">
        <v>257.5911447118184</v>
      </c>
      <c r="G10" s="194"/>
      <c r="J10" s="175"/>
      <c r="K10" s="94"/>
      <c r="L10" s="94"/>
    </row>
    <row r="11" spans="1:12" ht="12.75" customHeight="1" x14ac:dyDescent="0.2">
      <c r="A11" s="194"/>
      <c r="B11" s="195"/>
      <c r="C11" s="196"/>
      <c r="D11" s="175"/>
      <c r="E11" s="197"/>
      <c r="F11" s="198"/>
      <c r="G11" s="194"/>
      <c r="J11" s="175"/>
      <c r="K11" s="94"/>
    </row>
    <row r="12" spans="1:12" x14ac:dyDescent="0.2">
      <c r="A12" s="194" t="s">
        <v>181</v>
      </c>
      <c r="B12" s="199">
        <v>51530</v>
      </c>
      <c r="C12" s="200">
        <v>51530</v>
      </c>
      <c r="D12" s="199">
        <v>133599</v>
      </c>
      <c r="E12" s="197">
        <v>259.26450611294393</v>
      </c>
      <c r="F12" s="198">
        <v>259.26450611294393</v>
      </c>
      <c r="G12" s="194"/>
      <c r="J12" s="175"/>
      <c r="K12" s="94"/>
    </row>
    <row r="13" spans="1:12" ht="12.75" customHeight="1" x14ac:dyDescent="0.2">
      <c r="A13" s="194" t="s">
        <v>2</v>
      </c>
      <c r="B13" s="195"/>
      <c r="C13" s="196" t="s">
        <v>182</v>
      </c>
      <c r="D13" s="201"/>
      <c r="E13" s="197"/>
      <c r="F13" s="198"/>
      <c r="G13" s="194"/>
      <c r="J13" s="175"/>
      <c r="K13" s="94"/>
    </row>
    <row r="14" spans="1:12" x14ac:dyDescent="0.2">
      <c r="A14" s="194" t="s">
        <v>183</v>
      </c>
      <c r="B14" s="199">
        <v>180</v>
      </c>
      <c r="C14" s="196">
        <v>180</v>
      </c>
      <c r="D14" s="202">
        <v>223</v>
      </c>
      <c r="E14" s="197">
        <v>123.88888888888889</v>
      </c>
      <c r="F14" s="198">
        <v>123.88888888888889</v>
      </c>
      <c r="G14" s="194"/>
    </row>
    <row r="15" spans="1:12" x14ac:dyDescent="0.2">
      <c r="A15" s="194" t="s">
        <v>184</v>
      </c>
      <c r="B15" s="199">
        <v>5400</v>
      </c>
      <c r="C15" s="196">
        <v>5400</v>
      </c>
      <c r="D15" s="202">
        <v>5608</v>
      </c>
      <c r="E15" s="197">
        <v>103.85185185185186</v>
      </c>
      <c r="F15" s="198">
        <v>103.85185185185186</v>
      </c>
      <c r="G15" s="194"/>
    </row>
    <row r="16" spans="1:12" x14ac:dyDescent="0.2">
      <c r="A16" s="194" t="s">
        <v>185</v>
      </c>
      <c r="B16" s="199">
        <v>72</v>
      </c>
      <c r="C16" s="196">
        <v>72</v>
      </c>
      <c r="D16" s="202">
        <v>54</v>
      </c>
      <c r="E16" s="197">
        <v>75</v>
      </c>
      <c r="F16" s="198">
        <v>75</v>
      </c>
      <c r="G16" s="194"/>
    </row>
    <row r="17" spans="1:10" x14ac:dyDescent="0.2">
      <c r="A17" s="194" t="s">
        <v>186</v>
      </c>
      <c r="B17" s="195">
        <v>4620</v>
      </c>
      <c r="C17" s="196">
        <v>4620</v>
      </c>
      <c r="D17" s="202">
        <v>4523</v>
      </c>
      <c r="E17" s="197">
        <v>97.900432900432904</v>
      </c>
      <c r="F17" s="198">
        <v>97.900432900432904</v>
      </c>
      <c r="G17" s="194"/>
    </row>
    <row r="18" spans="1:10" x14ac:dyDescent="0.2">
      <c r="A18" s="203" t="s">
        <v>187</v>
      </c>
      <c r="B18" s="195">
        <v>6600</v>
      </c>
      <c r="C18" s="196">
        <v>6600</v>
      </c>
      <c r="D18" s="202">
        <v>6439</v>
      </c>
      <c r="E18" s="197">
        <v>97.560606060606062</v>
      </c>
      <c r="F18" s="198">
        <v>97.560606060606062</v>
      </c>
      <c r="G18" s="194"/>
    </row>
    <row r="19" spans="1:10" x14ac:dyDescent="0.2">
      <c r="A19" s="194" t="s">
        <v>188</v>
      </c>
      <c r="B19" s="195">
        <v>0</v>
      </c>
      <c r="C19" s="196">
        <v>0</v>
      </c>
      <c r="D19" s="202">
        <v>0</v>
      </c>
      <c r="E19" s="197">
        <v>0</v>
      </c>
      <c r="F19" s="198">
        <v>0</v>
      </c>
      <c r="G19" s="194"/>
    </row>
    <row r="20" spans="1:10" ht="25.5" x14ac:dyDescent="0.2">
      <c r="A20" s="204" t="s">
        <v>189</v>
      </c>
      <c r="B20" s="195">
        <v>405.22264747947463</v>
      </c>
      <c r="C20" s="196">
        <v>405.22264747947457</v>
      </c>
      <c r="D20" s="202">
        <v>437</v>
      </c>
      <c r="E20" s="197">
        <v>107.84194879486219</v>
      </c>
      <c r="F20" s="198">
        <v>107.84194879486222</v>
      </c>
      <c r="G20" s="205"/>
    </row>
    <row r="21" spans="1:10" ht="38.25" x14ac:dyDescent="0.2">
      <c r="A21" s="204" t="s">
        <v>190</v>
      </c>
      <c r="B21" s="195">
        <v>42.401688815561293</v>
      </c>
      <c r="C21" s="196">
        <v>42.401688815561279</v>
      </c>
      <c r="D21" s="202">
        <v>45</v>
      </c>
      <c r="E21" s="197">
        <v>106.12784834052442</v>
      </c>
      <c r="F21" s="198">
        <v>106.12784834052447</v>
      </c>
      <c r="G21" s="194"/>
    </row>
    <row r="22" spans="1:10" ht="25.5" x14ac:dyDescent="0.2">
      <c r="A22" s="204" t="s">
        <v>191</v>
      </c>
      <c r="B22" s="195">
        <v>2.3756637049641376</v>
      </c>
      <c r="C22" s="196">
        <v>2.3756637049641376</v>
      </c>
      <c r="D22" s="202">
        <v>8</v>
      </c>
      <c r="E22" s="197">
        <v>336.74799944467588</v>
      </c>
      <c r="F22" s="198">
        <v>336.74799944467588</v>
      </c>
      <c r="G22" s="194"/>
    </row>
    <row r="23" spans="1:10" x14ac:dyDescent="0.2">
      <c r="A23" s="194" t="s">
        <v>192</v>
      </c>
      <c r="B23" s="195">
        <v>368</v>
      </c>
      <c r="C23" s="196">
        <v>368.00000000000011</v>
      </c>
      <c r="D23" s="202">
        <v>367</v>
      </c>
      <c r="E23" s="197">
        <v>99.728260869565219</v>
      </c>
      <c r="F23" s="198">
        <v>99.72826086956519</v>
      </c>
      <c r="G23" s="194"/>
    </row>
    <row r="24" spans="1:10" x14ac:dyDescent="0.2">
      <c r="A24" s="206" t="s">
        <v>193</v>
      </c>
      <c r="B24" s="195">
        <v>0</v>
      </c>
      <c r="C24" s="196">
        <v>0</v>
      </c>
      <c r="D24" s="202">
        <v>9</v>
      </c>
      <c r="E24" s="207" t="s">
        <v>194</v>
      </c>
      <c r="F24" s="208" t="s">
        <v>194</v>
      </c>
      <c r="G24" s="194"/>
    </row>
    <row r="25" spans="1:10" x14ac:dyDescent="0.2">
      <c r="A25" s="209" t="s">
        <v>195</v>
      </c>
      <c r="B25" s="195">
        <v>0</v>
      </c>
      <c r="C25" s="196">
        <v>0</v>
      </c>
      <c r="D25" s="202">
        <v>81674</v>
      </c>
      <c r="E25" s="207" t="s">
        <v>194</v>
      </c>
      <c r="F25" s="208" t="s">
        <v>194</v>
      </c>
      <c r="G25" s="194"/>
    </row>
    <row r="26" spans="1:10" ht="25.5" x14ac:dyDescent="0.2">
      <c r="A26" s="209" t="s">
        <v>196</v>
      </c>
      <c r="B26" s="195">
        <v>2640</v>
      </c>
      <c r="C26" s="196">
        <v>2640</v>
      </c>
      <c r="D26" s="202">
        <v>2533</v>
      </c>
      <c r="E26" s="197">
        <v>95.946969696969703</v>
      </c>
      <c r="F26" s="198">
        <v>95.946969696969703</v>
      </c>
      <c r="G26" s="194"/>
    </row>
    <row r="27" spans="1:10" ht="17.25" customHeight="1" x14ac:dyDescent="0.2">
      <c r="A27" s="209" t="s">
        <v>197</v>
      </c>
      <c r="B27" s="195">
        <v>0</v>
      </c>
      <c r="C27" s="196">
        <v>0</v>
      </c>
      <c r="D27" s="202">
        <v>9</v>
      </c>
      <c r="E27" s="207" t="s">
        <v>194</v>
      </c>
      <c r="F27" s="208" t="s">
        <v>194</v>
      </c>
      <c r="G27" s="194"/>
    </row>
    <row r="28" spans="1:10" x14ac:dyDescent="0.2">
      <c r="A28" s="206" t="s">
        <v>198</v>
      </c>
      <c r="B28" s="195">
        <v>31200</v>
      </c>
      <c r="C28" s="196">
        <v>31200</v>
      </c>
      <c r="D28" s="202">
        <v>31670</v>
      </c>
      <c r="E28" s="197">
        <v>101.50641025641025</v>
      </c>
      <c r="F28" s="198">
        <v>101.50641025641025</v>
      </c>
    </row>
    <row r="29" spans="1:10" x14ac:dyDescent="0.2">
      <c r="A29" s="224" t="s">
        <v>199</v>
      </c>
      <c r="B29" s="225" t="s">
        <v>194</v>
      </c>
      <c r="C29" s="225" t="s">
        <v>194</v>
      </c>
      <c r="D29" s="88">
        <v>-862.28312999999616</v>
      </c>
      <c r="E29" s="226" t="s">
        <v>194</v>
      </c>
      <c r="F29" s="226" t="s">
        <v>194</v>
      </c>
      <c r="J29" s="175"/>
    </row>
    <row r="30" spans="1:10" ht="12.75" customHeight="1" x14ac:dyDescent="0.2">
      <c r="A30" s="242" t="s">
        <v>209</v>
      </c>
      <c r="B30" s="236"/>
      <c r="C30" s="227"/>
      <c r="D30" s="239">
        <v>81207</v>
      </c>
      <c r="E30" s="228"/>
      <c r="F30" s="229"/>
      <c r="J30" s="175"/>
    </row>
    <row r="31" spans="1:10" ht="12.75" customHeight="1" x14ac:dyDescent="0.2">
      <c r="A31" s="230" t="s">
        <v>200</v>
      </c>
      <c r="B31" s="237"/>
      <c r="C31" s="210"/>
      <c r="D31" s="240">
        <v>81674</v>
      </c>
      <c r="E31" s="211"/>
      <c r="F31" s="231"/>
      <c r="J31" s="175"/>
    </row>
    <row r="32" spans="1:10" x14ac:dyDescent="0.2">
      <c r="A32" s="232" t="s">
        <v>201</v>
      </c>
      <c r="B32" s="238"/>
      <c r="C32" s="233"/>
      <c r="D32" s="241">
        <v>-467</v>
      </c>
      <c r="E32" s="234"/>
      <c r="F32" s="235"/>
    </row>
    <row r="33" spans="1:6" ht="12.75" customHeight="1" x14ac:dyDescent="0.2">
      <c r="A33" s="242" t="s">
        <v>210</v>
      </c>
      <c r="B33" s="236"/>
      <c r="C33" s="227"/>
      <c r="D33" s="239">
        <v>51530</v>
      </c>
      <c r="E33" s="228"/>
      <c r="F33" s="229"/>
    </row>
    <row r="34" spans="1:6" ht="12.75" customHeight="1" x14ac:dyDescent="0.2">
      <c r="A34" s="230" t="s">
        <v>200</v>
      </c>
      <c r="B34" s="237"/>
      <c r="C34" s="210"/>
      <c r="D34" s="240">
        <v>51925</v>
      </c>
      <c r="E34" s="211"/>
      <c r="F34" s="231"/>
    </row>
    <row r="35" spans="1:6" x14ac:dyDescent="0.2">
      <c r="A35" s="232" t="s">
        <v>201</v>
      </c>
      <c r="B35" s="238"/>
      <c r="C35" s="233"/>
      <c r="D35" s="241">
        <v>-395</v>
      </c>
      <c r="E35" s="234"/>
      <c r="F35" s="235"/>
    </row>
    <row r="36" spans="1:6" x14ac:dyDescent="0.2">
      <c r="A36" s="212"/>
      <c r="B36" s="210"/>
      <c r="C36" s="210"/>
      <c r="D36" s="213"/>
      <c r="E36" s="211"/>
      <c r="F36" s="211"/>
    </row>
    <row r="37" spans="1:6" x14ac:dyDescent="0.2">
      <c r="A37" s="214" t="s">
        <v>202</v>
      </c>
    </row>
    <row r="38" spans="1:6" x14ac:dyDescent="0.2">
      <c r="A38" s="215" t="s">
        <v>203</v>
      </c>
    </row>
    <row r="39" spans="1:6" x14ac:dyDescent="0.2">
      <c r="A39" s="215" t="s">
        <v>204</v>
      </c>
    </row>
    <row r="40" spans="1:6" x14ac:dyDescent="0.2">
      <c r="A40" s="215"/>
      <c r="D40" s="216"/>
    </row>
    <row r="41" spans="1:6" x14ac:dyDescent="0.2">
      <c r="A41" s="215"/>
      <c r="D41" s="216"/>
      <c r="E41" s="175"/>
    </row>
    <row r="42" spans="1:6" x14ac:dyDescent="0.2">
      <c r="D42" s="216"/>
    </row>
    <row r="43" spans="1:6" x14ac:dyDescent="0.2">
      <c r="A43" t="s">
        <v>205</v>
      </c>
      <c r="B43" s="177" t="s">
        <v>3</v>
      </c>
    </row>
    <row r="44" spans="1:6" s="94" customFormat="1" ht="38.25" x14ac:dyDescent="0.2">
      <c r="A44" s="180" t="s">
        <v>1</v>
      </c>
      <c r="B44" s="182" t="s">
        <v>175</v>
      </c>
    </row>
    <row r="45" spans="1:6" s="187" customFormat="1" x14ac:dyDescent="0.2">
      <c r="A45" s="217" t="s">
        <v>0</v>
      </c>
      <c r="B45" s="186">
        <v>1</v>
      </c>
    </row>
    <row r="46" spans="1:6" ht="38.25" x14ac:dyDescent="0.2">
      <c r="A46" s="218" t="s">
        <v>206</v>
      </c>
      <c r="B46" s="219">
        <v>1339</v>
      </c>
      <c r="C46"/>
      <c r="D46"/>
    </row>
    <row r="47" spans="1:6" x14ac:dyDescent="0.2">
      <c r="A47" s="218" t="s">
        <v>207</v>
      </c>
      <c r="B47" s="220">
        <v>1230</v>
      </c>
      <c r="C47"/>
      <c r="D47" s="221"/>
    </row>
    <row r="48" spans="1:6" x14ac:dyDescent="0.2">
      <c r="A48" s="218" t="s">
        <v>208</v>
      </c>
      <c r="B48" s="222">
        <v>-109</v>
      </c>
      <c r="C48"/>
      <c r="D48" s="221"/>
    </row>
    <row r="49" spans="1:4" x14ac:dyDescent="0.2">
      <c r="D49" s="221"/>
    </row>
    <row r="51" spans="1:4" x14ac:dyDescent="0.2">
      <c r="A51" s="223"/>
    </row>
  </sheetData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57"/>
  <sheetViews>
    <sheetView showGridLines="0" topLeftCell="A13" zoomScaleNormal="100" workbookViewId="0">
      <selection activeCell="G2" sqref="G2"/>
    </sheetView>
  </sheetViews>
  <sheetFormatPr defaultRowHeight="12.75" x14ac:dyDescent="0.2"/>
  <cols>
    <col min="2" max="2" width="59.7109375" customWidth="1"/>
    <col min="3" max="3" width="21.42578125" customWidth="1"/>
    <col min="4" max="4" width="13.85546875" customWidth="1"/>
    <col min="5" max="5" width="14.42578125" customWidth="1"/>
    <col min="6" max="6" width="14.28515625" customWidth="1"/>
    <col min="7" max="7" width="13" customWidth="1"/>
    <col min="8" max="8" width="12.28515625" customWidth="1"/>
    <col min="9" max="9" width="16.42578125" customWidth="1"/>
    <col min="258" max="258" width="59.7109375" customWidth="1"/>
    <col min="259" max="259" width="21.42578125" customWidth="1"/>
    <col min="260" max="260" width="13.85546875" customWidth="1"/>
    <col min="261" max="261" width="14.42578125" customWidth="1"/>
    <col min="262" max="262" width="14.28515625" customWidth="1"/>
    <col min="263" max="263" width="13" customWidth="1"/>
    <col min="264" max="264" width="12.28515625" customWidth="1"/>
    <col min="265" max="265" width="15.140625" customWidth="1"/>
    <col min="514" max="514" width="59.7109375" customWidth="1"/>
    <col min="515" max="515" width="21.42578125" customWidth="1"/>
    <col min="516" max="516" width="13.85546875" customWidth="1"/>
    <col min="517" max="517" width="14.42578125" customWidth="1"/>
    <col min="518" max="518" width="14.28515625" customWidth="1"/>
    <col min="519" max="519" width="13" customWidth="1"/>
    <col min="520" max="520" width="12.28515625" customWidth="1"/>
    <col min="521" max="521" width="15.140625" customWidth="1"/>
    <col min="770" max="770" width="59.7109375" customWidth="1"/>
    <col min="771" max="771" width="21.42578125" customWidth="1"/>
    <col min="772" max="772" width="13.85546875" customWidth="1"/>
    <col min="773" max="773" width="14.42578125" customWidth="1"/>
    <col min="774" max="774" width="14.28515625" customWidth="1"/>
    <col min="775" max="775" width="13" customWidth="1"/>
    <col min="776" max="776" width="12.28515625" customWidth="1"/>
    <col min="777" max="777" width="15.140625" customWidth="1"/>
    <col min="1026" max="1026" width="59.7109375" customWidth="1"/>
    <col min="1027" max="1027" width="21.42578125" customWidth="1"/>
    <col min="1028" max="1028" width="13.85546875" customWidth="1"/>
    <col min="1029" max="1029" width="14.42578125" customWidth="1"/>
    <col min="1030" max="1030" width="14.28515625" customWidth="1"/>
    <col min="1031" max="1031" width="13" customWidth="1"/>
    <col min="1032" max="1032" width="12.28515625" customWidth="1"/>
    <col min="1033" max="1033" width="15.140625" customWidth="1"/>
    <col min="1282" max="1282" width="59.7109375" customWidth="1"/>
    <col min="1283" max="1283" width="21.42578125" customWidth="1"/>
    <col min="1284" max="1284" width="13.85546875" customWidth="1"/>
    <col min="1285" max="1285" width="14.42578125" customWidth="1"/>
    <col min="1286" max="1286" width="14.28515625" customWidth="1"/>
    <col min="1287" max="1287" width="13" customWidth="1"/>
    <col min="1288" max="1288" width="12.28515625" customWidth="1"/>
    <col min="1289" max="1289" width="15.140625" customWidth="1"/>
    <col min="1538" max="1538" width="59.7109375" customWidth="1"/>
    <col min="1539" max="1539" width="21.42578125" customWidth="1"/>
    <col min="1540" max="1540" width="13.85546875" customWidth="1"/>
    <col min="1541" max="1541" width="14.42578125" customWidth="1"/>
    <col min="1542" max="1542" width="14.28515625" customWidth="1"/>
    <col min="1543" max="1543" width="13" customWidth="1"/>
    <col min="1544" max="1544" width="12.28515625" customWidth="1"/>
    <col min="1545" max="1545" width="15.140625" customWidth="1"/>
    <col min="1794" max="1794" width="59.7109375" customWidth="1"/>
    <col min="1795" max="1795" width="21.42578125" customWidth="1"/>
    <col min="1796" max="1796" width="13.85546875" customWidth="1"/>
    <col min="1797" max="1797" width="14.42578125" customWidth="1"/>
    <col min="1798" max="1798" width="14.28515625" customWidth="1"/>
    <col min="1799" max="1799" width="13" customWidth="1"/>
    <col min="1800" max="1800" width="12.28515625" customWidth="1"/>
    <col min="1801" max="1801" width="15.140625" customWidth="1"/>
    <col min="2050" max="2050" width="59.7109375" customWidth="1"/>
    <col min="2051" max="2051" width="21.42578125" customWidth="1"/>
    <col min="2052" max="2052" width="13.85546875" customWidth="1"/>
    <col min="2053" max="2053" width="14.42578125" customWidth="1"/>
    <col min="2054" max="2054" width="14.28515625" customWidth="1"/>
    <col min="2055" max="2055" width="13" customWidth="1"/>
    <col min="2056" max="2056" width="12.28515625" customWidth="1"/>
    <col min="2057" max="2057" width="15.140625" customWidth="1"/>
    <col min="2306" max="2306" width="59.7109375" customWidth="1"/>
    <col min="2307" max="2307" width="21.42578125" customWidth="1"/>
    <col min="2308" max="2308" width="13.85546875" customWidth="1"/>
    <col min="2309" max="2309" width="14.42578125" customWidth="1"/>
    <col min="2310" max="2310" width="14.28515625" customWidth="1"/>
    <col min="2311" max="2311" width="13" customWidth="1"/>
    <col min="2312" max="2312" width="12.28515625" customWidth="1"/>
    <col min="2313" max="2313" width="15.140625" customWidth="1"/>
    <col min="2562" max="2562" width="59.7109375" customWidth="1"/>
    <col min="2563" max="2563" width="21.42578125" customWidth="1"/>
    <col min="2564" max="2564" width="13.85546875" customWidth="1"/>
    <col min="2565" max="2565" width="14.42578125" customWidth="1"/>
    <col min="2566" max="2566" width="14.28515625" customWidth="1"/>
    <col min="2567" max="2567" width="13" customWidth="1"/>
    <col min="2568" max="2568" width="12.28515625" customWidth="1"/>
    <col min="2569" max="2569" width="15.140625" customWidth="1"/>
    <col min="2818" max="2818" width="59.7109375" customWidth="1"/>
    <col min="2819" max="2819" width="21.42578125" customWidth="1"/>
    <col min="2820" max="2820" width="13.85546875" customWidth="1"/>
    <col min="2821" max="2821" width="14.42578125" customWidth="1"/>
    <col min="2822" max="2822" width="14.28515625" customWidth="1"/>
    <col min="2823" max="2823" width="13" customWidth="1"/>
    <col min="2824" max="2824" width="12.28515625" customWidth="1"/>
    <col min="2825" max="2825" width="15.140625" customWidth="1"/>
    <col min="3074" max="3074" width="59.7109375" customWidth="1"/>
    <col min="3075" max="3075" width="21.42578125" customWidth="1"/>
    <col min="3076" max="3076" width="13.85546875" customWidth="1"/>
    <col min="3077" max="3077" width="14.42578125" customWidth="1"/>
    <col min="3078" max="3078" width="14.28515625" customWidth="1"/>
    <col min="3079" max="3079" width="13" customWidth="1"/>
    <col min="3080" max="3080" width="12.28515625" customWidth="1"/>
    <col min="3081" max="3081" width="15.140625" customWidth="1"/>
    <col min="3330" max="3330" width="59.7109375" customWidth="1"/>
    <col min="3331" max="3331" width="21.42578125" customWidth="1"/>
    <col min="3332" max="3332" width="13.85546875" customWidth="1"/>
    <col min="3333" max="3333" width="14.42578125" customWidth="1"/>
    <col min="3334" max="3334" width="14.28515625" customWidth="1"/>
    <col min="3335" max="3335" width="13" customWidth="1"/>
    <col min="3336" max="3336" width="12.28515625" customWidth="1"/>
    <col min="3337" max="3337" width="15.140625" customWidth="1"/>
    <col min="3586" max="3586" width="59.7109375" customWidth="1"/>
    <col min="3587" max="3587" width="21.42578125" customWidth="1"/>
    <col min="3588" max="3588" width="13.85546875" customWidth="1"/>
    <col min="3589" max="3589" width="14.42578125" customWidth="1"/>
    <col min="3590" max="3590" width="14.28515625" customWidth="1"/>
    <col min="3591" max="3591" width="13" customWidth="1"/>
    <col min="3592" max="3592" width="12.28515625" customWidth="1"/>
    <col min="3593" max="3593" width="15.140625" customWidth="1"/>
    <col min="3842" max="3842" width="59.7109375" customWidth="1"/>
    <col min="3843" max="3843" width="21.42578125" customWidth="1"/>
    <col min="3844" max="3844" width="13.85546875" customWidth="1"/>
    <col min="3845" max="3845" width="14.42578125" customWidth="1"/>
    <col min="3846" max="3846" width="14.28515625" customWidth="1"/>
    <col min="3847" max="3847" width="13" customWidth="1"/>
    <col min="3848" max="3848" width="12.28515625" customWidth="1"/>
    <col min="3849" max="3849" width="15.140625" customWidth="1"/>
    <col min="4098" max="4098" width="59.7109375" customWidth="1"/>
    <col min="4099" max="4099" width="21.42578125" customWidth="1"/>
    <col min="4100" max="4100" width="13.85546875" customWidth="1"/>
    <col min="4101" max="4101" width="14.42578125" customWidth="1"/>
    <col min="4102" max="4102" width="14.28515625" customWidth="1"/>
    <col min="4103" max="4103" width="13" customWidth="1"/>
    <col min="4104" max="4104" width="12.28515625" customWidth="1"/>
    <col min="4105" max="4105" width="15.140625" customWidth="1"/>
    <col min="4354" max="4354" width="59.7109375" customWidth="1"/>
    <col min="4355" max="4355" width="21.42578125" customWidth="1"/>
    <col min="4356" max="4356" width="13.85546875" customWidth="1"/>
    <col min="4357" max="4357" width="14.42578125" customWidth="1"/>
    <col min="4358" max="4358" width="14.28515625" customWidth="1"/>
    <col min="4359" max="4359" width="13" customWidth="1"/>
    <col min="4360" max="4360" width="12.28515625" customWidth="1"/>
    <col min="4361" max="4361" width="15.140625" customWidth="1"/>
    <col min="4610" max="4610" width="59.7109375" customWidth="1"/>
    <col min="4611" max="4611" width="21.42578125" customWidth="1"/>
    <col min="4612" max="4612" width="13.85546875" customWidth="1"/>
    <col min="4613" max="4613" width="14.42578125" customWidth="1"/>
    <col min="4614" max="4614" width="14.28515625" customWidth="1"/>
    <col min="4615" max="4615" width="13" customWidth="1"/>
    <col min="4616" max="4616" width="12.28515625" customWidth="1"/>
    <col min="4617" max="4617" width="15.140625" customWidth="1"/>
    <col min="4866" max="4866" width="59.7109375" customWidth="1"/>
    <col min="4867" max="4867" width="21.42578125" customWidth="1"/>
    <col min="4868" max="4868" width="13.85546875" customWidth="1"/>
    <col min="4869" max="4869" width="14.42578125" customWidth="1"/>
    <col min="4870" max="4870" width="14.28515625" customWidth="1"/>
    <col min="4871" max="4871" width="13" customWidth="1"/>
    <col min="4872" max="4872" width="12.28515625" customWidth="1"/>
    <col min="4873" max="4873" width="15.140625" customWidth="1"/>
    <col min="5122" max="5122" width="59.7109375" customWidth="1"/>
    <col min="5123" max="5123" width="21.42578125" customWidth="1"/>
    <col min="5124" max="5124" width="13.85546875" customWidth="1"/>
    <col min="5125" max="5125" width="14.42578125" customWidth="1"/>
    <col min="5126" max="5126" width="14.28515625" customWidth="1"/>
    <col min="5127" max="5127" width="13" customWidth="1"/>
    <col min="5128" max="5128" width="12.28515625" customWidth="1"/>
    <col min="5129" max="5129" width="15.140625" customWidth="1"/>
    <col min="5378" max="5378" width="59.7109375" customWidth="1"/>
    <col min="5379" max="5379" width="21.42578125" customWidth="1"/>
    <col min="5380" max="5380" width="13.85546875" customWidth="1"/>
    <col min="5381" max="5381" width="14.42578125" customWidth="1"/>
    <col min="5382" max="5382" width="14.28515625" customWidth="1"/>
    <col min="5383" max="5383" width="13" customWidth="1"/>
    <col min="5384" max="5384" width="12.28515625" customWidth="1"/>
    <col min="5385" max="5385" width="15.140625" customWidth="1"/>
    <col min="5634" max="5634" width="59.7109375" customWidth="1"/>
    <col min="5635" max="5635" width="21.42578125" customWidth="1"/>
    <col min="5636" max="5636" width="13.85546875" customWidth="1"/>
    <col min="5637" max="5637" width="14.42578125" customWidth="1"/>
    <col min="5638" max="5638" width="14.28515625" customWidth="1"/>
    <col min="5639" max="5639" width="13" customWidth="1"/>
    <col min="5640" max="5640" width="12.28515625" customWidth="1"/>
    <col min="5641" max="5641" width="15.140625" customWidth="1"/>
    <col min="5890" max="5890" width="59.7109375" customWidth="1"/>
    <col min="5891" max="5891" width="21.42578125" customWidth="1"/>
    <col min="5892" max="5892" width="13.85546875" customWidth="1"/>
    <col min="5893" max="5893" width="14.42578125" customWidth="1"/>
    <col min="5894" max="5894" width="14.28515625" customWidth="1"/>
    <col min="5895" max="5895" width="13" customWidth="1"/>
    <col min="5896" max="5896" width="12.28515625" customWidth="1"/>
    <col min="5897" max="5897" width="15.140625" customWidth="1"/>
    <col min="6146" max="6146" width="59.7109375" customWidth="1"/>
    <col min="6147" max="6147" width="21.42578125" customWidth="1"/>
    <col min="6148" max="6148" width="13.85546875" customWidth="1"/>
    <col min="6149" max="6149" width="14.42578125" customWidth="1"/>
    <col min="6150" max="6150" width="14.28515625" customWidth="1"/>
    <col min="6151" max="6151" width="13" customWidth="1"/>
    <col min="6152" max="6152" width="12.28515625" customWidth="1"/>
    <col min="6153" max="6153" width="15.140625" customWidth="1"/>
    <col min="6402" max="6402" width="59.7109375" customWidth="1"/>
    <col min="6403" max="6403" width="21.42578125" customWidth="1"/>
    <col min="6404" max="6404" width="13.85546875" customWidth="1"/>
    <col min="6405" max="6405" width="14.42578125" customWidth="1"/>
    <col min="6406" max="6406" width="14.28515625" customWidth="1"/>
    <col min="6407" max="6407" width="13" customWidth="1"/>
    <col min="6408" max="6408" width="12.28515625" customWidth="1"/>
    <col min="6409" max="6409" width="15.140625" customWidth="1"/>
    <col min="6658" max="6658" width="59.7109375" customWidth="1"/>
    <col min="6659" max="6659" width="21.42578125" customWidth="1"/>
    <col min="6660" max="6660" width="13.85546875" customWidth="1"/>
    <col min="6661" max="6661" width="14.42578125" customWidth="1"/>
    <col min="6662" max="6662" width="14.28515625" customWidth="1"/>
    <col min="6663" max="6663" width="13" customWidth="1"/>
    <col min="6664" max="6664" width="12.28515625" customWidth="1"/>
    <col min="6665" max="6665" width="15.140625" customWidth="1"/>
    <col min="6914" max="6914" width="59.7109375" customWidth="1"/>
    <col min="6915" max="6915" width="21.42578125" customWidth="1"/>
    <col min="6916" max="6916" width="13.85546875" customWidth="1"/>
    <col min="6917" max="6917" width="14.42578125" customWidth="1"/>
    <col min="6918" max="6918" width="14.28515625" customWidth="1"/>
    <col min="6919" max="6919" width="13" customWidth="1"/>
    <col min="6920" max="6920" width="12.28515625" customWidth="1"/>
    <col min="6921" max="6921" width="15.140625" customWidth="1"/>
    <col min="7170" max="7170" width="59.7109375" customWidth="1"/>
    <col min="7171" max="7171" width="21.42578125" customWidth="1"/>
    <col min="7172" max="7172" width="13.85546875" customWidth="1"/>
    <col min="7173" max="7173" width="14.42578125" customWidth="1"/>
    <col min="7174" max="7174" width="14.28515625" customWidth="1"/>
    <col min="7175" max="7175" width="13" customWidth="1"/>
    <col min="7176" max="7176" width="12.28515625" customWidth="1"/>
    <col min="7177" max="7177" width="15.140625" customWidth="1"/>
    <col min="7426" max="7426" width="59.7109375" customWidth="1"/>
    <col min="7427" max="7427" width="21.42578125" customWidth="1"/>
    <col min="7428" max="7428" width="13.85546875" customWidth="1"/>
    <col min="7429" max="7429" width="14.42578125" customWidth="1"/>
    <col min="7430" max="7430" width="14.28515625" customWidth="1"/>
    <col min="7431" max="7431" width="13" customWidth="1"/>
    <col min="7432" max="7432" width="12.28515625" customWidth="1"/>
    <col min="7433" max="7433" width="15.140625" customWidth="1"/>
    <col min="7682" max="7682" width="59.7109375" customWidth="1"/>
    <col min="7683" max="7683" width="21.42578125" customWidth="1"/>
    <col min="7684" max="7684" width="13.85546875" customWidth="1"/>
    <col min="7685" max="7685" width="14.42578125" customWidth="1"/>
    <col min="7686" max="7686" width="14.28515625" customWidth="1"/>
    <col min="7687" max="7687" width="13" customWidth="1"/>
    <col min="7688" max="7688" width="12.28515625" customWidth="1"/>
    <col min="7689" max="7689" width="15.140625" customWidth="1"/>
    <col min="7938" max="7938" width="59.7109375" customWidth="1"/>
    <col min="7939" max="7939" width="21.42578125" customWidth="1"/>
    <col min="7940" max="7940" width="13.85546875" customWidth="1"/>
    <col min="7941" max="7941" width="14.42578125" customWidth="1"/>
    <col min="7942" max="7942" width="14.28515625" customWidth="1"/>
    <col min="7943" max="7943" width="13" customWidth="1"/>
    <col min="7944" max="7944" width="12.28515625" customWidth="1"/>
    <col min="7945" max="7945" width="15.140625" customWidth="1"/>
    <col min="8194" max="8194" width="59.7109375" customWidth="1"/>
    <col min="8195" max="8195" width="21.42578125" customWidth="1"/>
    <col min="8196" max="8196" width="13.85546875" customWidth="1"/>
    <col min="8197" max="8197" width="14.42578125" customWidth="1"/>
    <col min="8198" max="8198" width="14.28515625" customWidth="1"/>
    <col min="8199" max="8199" width="13" customWidth="1"/>
    <col min="8200" max="8200" width="12.28515625" customWidth="1"/>
    <col min="8201" max="8201" width="15.140625" customWidth="1"/>
    <col min="8450" max="8450" width="59.7109375" customWidth="1"/>
    <col min="8451" max="8451" width="21.42578125" customWidth="1"/>
    <col min="8452" max="8452" width="13.85546875" customWidth="1"/>
    <col min="8453" max="8453" width="14.42578125" customWidth="1"/>
    <col min="8454" max="8454" width="14.28515625" customWidth="1"/>
    <col min="8455" max="8455" width="13" customWidth="1"/>
    <col min="8456" max="8456" width="12.28515625" customWidth="1"/>
    <col min="8457" max="8457" width="15.140625" customWidth="1"/>
    <col min="8706" max="8706" width="59.7109375" customWidth="1"/>
    <col min="8707" max="8707" width="21.42578125" customWidth="1"/>
    <col min="8708" max="8708" width="13.85546875" customWidth="1"/>
    <col min="8709" max="8709" width="14.42578125" customWidth="1"/>
    <col min="8710" max="8710" width="14.28515625" customWidth="1"/>
    <col min="8711" max="8711" width="13" customWidth="1"/>
    <col min="8712" max="8712" width="12.28515625" customWidth="1"/>
    <col min="8713" max="8713" width="15.140625" customWidth="1"/>
    <col min="8962" max="8962" width="59.7109375" customWidth="1"/>
    <col min="8963" max="8963" width="21.42578125" customWidth="1"/>
    <col min="8964" max="8964" width="13.85546875" customWidth="1"/>
    <col min="8965" max="8965" width="14.42578125" customWidth="1"/>
    <col min="8966" max="8966" width="14.28515625" customWidth="1"/>
    <col min="8967" max="8967" width="13" customWidth="1"/>
    <col min="8968" max="8968" width="12.28515625" customWidth="1"/>
    <col min="8969" max="8969" width="15.140625" customWidth="1"/>
    <col min="9218" max="9218" width="59.7109375" customWidth="1"/>
    <col min="9219" max="9219" width="21.42578125" customWidth="1"/>
    <col min="9220" max="9220" width="13.85546875" customWidth="1"/>
    <col min="9221" max="9221" width="14.42578125" customWidth="1"/>
    <col min="9222" max="9222" width="14.28515625" customWidth="1"/>
    <col min="9223" max="9223" width="13" customWidth="1"/>
    <col min="9224" max="9224" width="12.28515625" customWidth="1"/>
    <col min="9225" max="9225" width="15.140625" customWidth="1"/>
    <col min="9474" max="9474" width="59.7109375" customWidth="1"/>
    <col min="9475" max="9475" width="21.42578125" customWidth="1"/>
    <col min="9476" max="9476" width="13.85546875" customWidth="1"/>
    <col min="9477" max="9477" width="14.42578125" customWidth="1"/>
    <col min="9478" max="9478" width="14.28515625" customWidth="1"/>
    <col min="9479" max="9479" width="13" customWidth="1"/>
    <col min="9480" max="9480" width="12.28515625" customWidth="1"/>
    <col min="9481" max="9481" width="15.140625" customWidth="1"/>
    <col min="9730" max="9730" width="59.7109375" customWidth="1"/>
    <col min="9731" max="9731" width="21.42578125" customWidth="1"/>
    <col min="9732" max="9732" width="13.85546875" customWidth="1"/>
    <col min="9733" max="9733" width="14.42578125" customWidth="1"/>
    <col min="9734" max="9734" width="14.28515625" customWidth="1"/>
    <col min="9735" max="9735" width="13" customWidth="1"/>
    <col min="9736" max="9736" width="12.28515625" customWidth="1"/>
    <col min="9737" max="9737" width="15.140625" customWidth="1"/>
    <col min="9986" max="9986" width="59.7109375" customWidth="1"/>
    <col min="9987" max="9987" width="21.42578125" customWidth="1"/>
    <col min="9988" max="9988" width="13.85546875" customWidth="1"/>
    <col min="9989" max="9989" width="14.42578125" customWidth="1"/>
    <col min="9990" max="9990" width="14.28515625" customWidth="1"/>
    <col min="9991" max="9991" width="13" customWidth="1"/>
    <col min="9992" max="9992" width="12.28515625" customWidth="1"/>
    <col min="9993" max="9993" width="15.140625" customWidth="1"/>
    <col min="10242" max="10242" width="59.7109375" customWidth="1"/>
    <col min="10243" max="10243" width="21.42578125" customWidth="1"/>
    <col min="10244" max="10244" width="13.85546875" customWidth="1"/>
    <col min="10245" max="10245" width="14.42578125" customWidth="1"/>
    <col min="10246" max="10246" width="14.28515625" customWidth="1"/>
    <col min="10247" max="10247" width="13" customWidth="1"/>
    <col min="10248" max="10248" width="12.28515625" customWidth="1"/>
    <col min="10249" max="10249" width="15.140625" customWidth="1"/>
    <col min="10498" max="10498" width="59.7109375" customWidth="1"/>
    <col min="10499" max="10499" width="21.42578125" customWidth="1"/>
    <col min="10500" max="10500" width="13.85546875" customWidth="1"/>
    <col min="10501" max="10501" width="14.42578125" customWidth="1"/>
    <col min="10502" max="10502" width="14.28515625" customWidth="1"/>
    <col min="10503" max="10503" width="13" customWidth="1"/>
    <col min="10504" max="10504" width="12.28515625" customWidth="1"/>
    <col min="10505" max="10505" width="15.140625" customWidth="1"/>
    <col min="10754" max="10754" width="59.7109375" customWidth="1"/>
    <col min="10755" max="10755" width="21.42578125" customWidth="1"/>
    <col min="10756" max="10756" width="13.85546875" customWidth="1"/>
    <col min="10757" max="10757" width="14.42578125" customWidth="1"/>
    <col min="10758" max="10758" width="14.28515625" customWidth="1"/>
    <col min="10759" max="10759" width="13" customWidth="1"/>
    <col min="10760" max="10760" width="12.28515625" customWidth="1"/>
    <col min="10761" max="10761" width="15.140625" customWidth="1"/>
    <col min="11010" max="11010" width="59.7109375" customWidth="1"/>
    <col min="11011" max="11011" width="21.42578125" customWidth="1"/>
    <col min="11012" max="11012" width="13.85546875" customWidth="1"/>
    <col min="11013" max="11013" width="14.42578125" customWidth="1"/>
    <col min="11014" max="11014" width="14.28515625" customWidth="1"/>
    <col min="11015" max="11015" width="13" customWidth="1"/>
    <col min="11016" max="11016" width="12.28515625" customWidth="1"/>
    <col min="11017" max="11017" width="15.140625" customWidth="1"/>
    <col min="11266" max="11266" width="59.7109375" customWidth="1"/>
    <col min="11267" max="11267" width="21.42578125" customWidth="1"/>
    <col min="11268" max="11268" width="13.85546875" customWidth="1"/>
    <col min="11269" max="11269" width="14.42578125" customWidth="1"/>
    <col min="11270" max="11270" width="14.28515625" customWidth="1"/>
    <col min="11271" max="11271" width="13" customWidth="1"/>
    <col min="11272" max="11272" width="12.28515625" customWidth="1"/>
    <col min="11273" max="11273" width="15.140625" customWidth="1"/>
    <col min="11522" max="11522" width="59.7109375" customWidth="1"/>
    <col min="11523" max="11523" width="21.42578125" customWidth="1"/>
    <col min="11524" max="11524" width="13.85546875" customWidth="1"/>
    <col min="11525" max="11525" width="14.42578125" customWidth="1"/>
    <col min="11526" max="11526" width="14.28515625" customWidth="1"/>
    <col min="11527" max="11527" width="13" customWidth="1"/>
    <col min="11528" max="11528" width="12.28515625" customWidth="1"/>
    <col min="11529" max="11529" width="15.140625" customWidth="1"/>
    <col min="11778" max="11778" width="59.7109375" customWidth="1"/>
    <col min="11779" max="11779" width="21.42578125" customWidth="1"/>
    <col min="11780" max="11780" width="13.85546875" customWidth="1"/>
    <col min="11781" max="11781" width="14.42578125" customWidth="1"/>
    <col min="11782" max="11782" width="14.28515625" customWidth="1"/>
    <col min="11783" max="11783" width="13" customWidth="1"/>
    <col min="11784" max="11784" width="12.28515625" customWidth="1"/>
    <col min="11785" max="11785" width="15.140625" customWidth="1"/>
    <col min="12034" max="12034" width="59.7109375" customWidth="1"/>
    <col min="12035" max="12035" width="21.42578125" customWidth="1"/>
    <col min="12036" max="12036" width="13.85546875" customWidth="1"/>
    <col min="12037" max="12037" width="14.42578125" customWidth="1"/>
    <col min="12038" max="12038" width="14.28515625" customWidth="1"/>
    <col min="12039" max="12039" width="13" customWidth="1"/>
    <col min="12040" max="12040" width="12.28515625" customWidth="1"/>
    <col min="12041" max="12041" width="15.140625" customWidth="1"/>
    <col min="12290" max="12290" width="59.7109375" customWidth="1"/>
    <col min="12291" max="12291" width="21.42578125" customWidth="1"/>
    <col min="12292" max="12292" width="13.85546875" customWidth="1"/>
    <col min="12293" max="12293" width="14.42578125" customWidth="1"/>
    <col min="12294" max="12294" width="14.28515625" customWidth="1"/>
    <col min="12295" max="12295" width="13" customWidth="1"/>
    <col min="12296" max="12296" width="12.28515625" customWidth="1"/>
    <col min="12297" max="12297" width="15.140625" customWidth="1"/>
    <col min="12546" max="12546" width="59.7109375" customWidth="1"/>
    <col min="12547" max="12547" width="21.42578125" customWidth="1"/>
    <col min="12548" max="12548" width="13.85546875" customWidth="1"/>
    <col min="12549" max="12549" width="14.42578125" customWidth="1"/>
    <col min="12550" max="12550" width="14.28515625" customWidth="1"/>
    <col min="12551" max="12551" width="13" customWidth="1"/>
    <col min="12552" max="12552" width="12.28515625" customWidth="1"/>
    <col min="12553" max="12553" width="15.140625" customWidth="1"/>
    <col min="12802" max="12802" width="59.7109375" customWidth="1"/>
    <col min="12803" max="12803" width="21.42578125" customWidth="1"/>
    <col min="12804" max="12804" width="13.85546875" customWidth="1"/>
    <col min="12805" max="12805" width="14.42578125" customWidth="1"/>
    <col min="12806" max="12806" width="14.28515625" customWidth="1"/>
    <col min="12807" max="12807" width="13" customWidth="1"/>
    <col min="12808" max="12808" width="12.28515625" customWidth="1"/>
    <col min="12809" max="12809" width="15.140625" customWidth="1"/>
    <col min="13058" max="13058" width="59.7109375" customWidth="1"/>
    <col min="13059" max="13059" width="21.42578125" customWidth="1"/>
    <col min="13060" max="13060" width="13.85546875" customWidth="1"/>
    <col min="13061" max="13061" width="14.42578125" customWidth="1"/>
    <col min="13062" max="13062" width="14.28515625" customWidth="1"/>
    <col min="13063" max="13063" width="13" customWidth="1"/>
    <col min="13064" max="13064" width="12.28515625" customWidth="1"/>
    <col min="13065" max="13065" width="15.140625" customWidth="1"/>
    <col min="13314" max="13314" width="59.7109375" customWidth="1"/>
    <col min="13315" max="13315" width="21.42578125" customWidth="1"/>
    <col min="13316" max="13316" width="13.85546875" customWidth="1"/>
    <col min="13317" max="13317" width="14.42578125" customWidth="1"/>
    <col min="13318" max="13318" width="14.28515625" customWidth="1"/>
    <col min="13319" max="13319" width="13" customWidth="1"/>
    <col min="13320" max="13320" width="12.28515625" customWidth="1"/>
    <col min="13321" max="13321" width="15.140625" customWidth="1"/>
    <col min="13570" max="13570" width="59.7109375" customWidth="1"/>
    <col min="13571" max="13571" width="21.42578125" customWidth="1"/>
    <col min="13572" max="13572" width="13.85546875" customWidth="1"/>
    <col min="13573" max="13573" width="14.42578125" customWidth="1"/>
    <col min="13574" max="13574" width="14.28515625" customWidth="1"/>
    <col min="13575" max="13575" width="13" customWidth="1"/>
    <col min="13576" max="13576" width="12.28515625" customWidth="1"/>
    <col min="13577" max="13577" width="15.140625" customWidth="1"/>
    <col min="13826" max="13826" width="59.7109375" customWidth="1"/>
    <col min="13827" max="13827" width="21.42578125" customWidth="1"/>
    <col min="13828" max="13828" width="13.85546875" customWidth="1"/>
    <col min="13829" max="13829" width="14.42578125" customWidth="1"/>
    <col min="13830" max="13830" width="14.28515625" customWidth="1"/>
    <col min="13831" max="13831" width="13" customWidth="1"/>
    <col min="13832" max="13832" width="12.28515625" customWidth="1"/>
    <col min="13833" max="13833" width="15.140625" customWidth="1"/>
    <col min="14082" max="14082" width="59.7109375" customWidth="1"/>
    <col min="14083" max="14083" width="21.42578125" customWidth="1"/>
    <col min="14084" max="14084" width="13.85546875" customWidth="1"/>
    <col min="14085" max="14085" width="14.42578125" customWidth="1"/>
    <col min="14086" max="14086" width="14.28515625" customWidth="1"/>
    <col min="14087" max="14087" width="13" customWidth="1"/>
    <col min="14088" max="14088" width="12.28515625" customWidth="1"/>
    <col min="14089" max="14089" width="15.140625" customWidth="1"/>
    <col min="14338" max="14338" width="59.7109375" customWidth="1"/>
    <col min="14339" max="14339" width="21.42578125" customWidth="1"/>
    <col min="14340" max="14340" width="13.85546875" customWidth="1"/>
    <col min="14341" max="14341" width="14.42578125" customWidth="1"/>
    <col min="14342" max="14342" width="14.28515625" customWidth="1"/>
    <col min="14343" max="14343" width="13" customWidth="1"/>
    <col min="14344" max="14344" width="12.28515625" customWidth="1"/>
    <col min="14345" max="14345" width="15.140625" customWidth="1"/>
    <col min="14594" max="14594" width="59.7109375" customWidth="1"/>
    <col min="14595" max="14595" width="21.42578125" customWidth="1"/>
    <col min="14596" max="14596" width="13.85546875" customWidth="1"/>
    <col min="14597" max="14597" width="14.42578125" customWidth="1"/>
    <col min="14598" max="14598" width="14.28515625" customWidth="1"/>
    <col min="14599" max="14599" width="13" customWidth="1"/>
    <col min="14600" max="14600" width="12.28515625" customWidth="1"/>
    <col min="14601" max="14601" width="15.140625" customWidth="1"/>
    <col min="14850" max="14850" width="59.7109375" customWidth="1"/>
    <col min="14851" max="14851" width="21.42578125" customWidth="1"/>
    <col min="14852" max="14852" width="13.85546875" customWidth="1"/>
    <col min="14853" max="14853" width="14.42578125" customWidth="1"/>
    <col min="14854" max="14854" width="14.28515625" customWidth="1"/>
    <col min="14855" max="14855" width="13" customWidth="1"/>
    <col min="14856" max="14856" width="12.28515625" customWidth="1"/>
    <col min="14857" max="14857" width="15.140625" customWidth="1"/>
    <col min="15106" max="15106" width="59.7109375" customWidth="1"/>
    <col min="15107" max="15107" width="21.42578125" customWidth="1"/>
    <col min="15108" max="15108" width="13.85546875" customWidth="1"/>
    <col min="15109" max="15109" width="14.42578125" customWidth="1"/>
    <col min="15110" max="15110" width="14.28515625" customWidth="1"/>
    <col min="15111" max="15111" width="13" customWidth="1"/>
    <col min="15112" max="15112" width="12.28515625" customWidth="1"/>
    <col min="15113" max="15113" width="15.140625" customWidth="1"/>
    <col min="15362" max="15362" width="59.7109375" customWidth="1"/>
    <col min="15363" max="15363" width="21.42578125" customWidth="1"/>
    <col min="15364" max="15364" width="13.85546875" customWidth="1"/>
    <col min="15365" max="15365" width="14.42578125" customWidth="1"/>
    <col min="15366" max="15366" width="14.28515625" customWidth="1"/>
    <col min="15367" max="15367" width="13" customWidth="1"/>
    <col min="15368" max="15368" width="12.28515625" customWidth="1"/>
    <col min="15369" max="15369" width="15.140625" customWidth="1"/>
    <col min="15618" max="15618" width="59.7109375" customWidth="1"/>
    <col min="15619" max="15619" width="21.42578125" customWidth="1"/>
    <col min="15620" max="15620" width="13.85546875" customWidth="1"/>
    <col min="15621" max="15621" width="14.42578125" customWidth="1"/>
    <col min="15622" max="15622" width="14.28515625" customWidth="1"/>
    <col min="15623" max="15623" width="13" customWidth="1"/>
    <col min="15624" max="15624" width="12.28515625" customWidth="1"/>
    <col min="15625" max="15625" width="15.140625" customWidth="1"/>
    <col min="15874" max="15874" width="59.7109375" customWidth="1"/>
    <col min="15875" max="15875" width="21.42578125" customWidth="1"/>
    <col min="15876" max="15876" width="13.85546875" customWidth="1"/>
    <col min="15877" max="15877" width="14.42578125" customWidth="1"/>
    <col min="15878" max="15878" width="14.28515625" customWidth="1"/>
    <col min="15879" max="15879" width="13" customWidth="1"/>
    <col min="15880" max="15880" width="12.28515625" customWidth="1"/>
    <col min="15881" max="15881" width="15.140625" customWidth="1"/>
    <col min="16130" max="16130" width="59.7109375" customWidth="1"/>
    <col min="16131" max="16131" width="21.42578125" customWidth="1"/>
    <col min="16132" max="16132" width="13.85546875" customWidth="1"/>
    <col min="16133" max="16133" width="14.42578125" customWidth="1"/>
    <col min="16134" max="16134" width="14.28515625" customWidth="1"/>
    <col min="16135" max="16135" width="13" customWidth="1"/>
    <col min="16136" max="16136" width="12.28515625" customWidth="1"/>
    <col min="16137" max="16137" width="15.140625" customWidth="1"/>
  </cols>
  <sheetData>
    <row r="3" spans="2:9" ht="14.25" x14ac:dyDescent="0.2">
      <c r="B3" s="96" t="s">
        <v>169</v>
      </c>
    </row>
    <row r="4" spans="2:9" ht="15" thickBot="1" x14ac:dyDescent="0.25">
      <c r="C4" s="97"/>
      <c r="D4" s="97"/>
      <c r="E4" s="97"/>
      <c r="F4" s="96"/>
      <c r="G4" s="96"/>
      <c r="H4" s="96"/>
    </row>
    <row r="5" spans="2:9" ht="15.75" thickBot="1" x14ac:dyDescent="0.3">
      <c r="B5" s="153" t="s">
        <v>101</v>
      </c>
      <c r="C5" s="98" t="s">
        <v>102</v>
      </c>
      <c r="D5" s="154" t="s">
        <v>103</v>
      </c>
      <c r="E5" s="155"/>
      <c r="F5" s="155"/>
      <c r="G5" s="156"/>
      <c r="H5" s="157" t="s">
        <v>104</v>
      </c>
      <c r="I5" s="158"/>
    </row>
    <row r="6" spans="2:9" ht="29.25" thickBot="1" x14ac:dyDescent="0.25">
      <c r="B6" s="99"/>
      <c r="C6" s="100" t="s">
        <v>105</v>
      </c>
      <c r="D6" s="101" t="s">
        <v>106</v>
      </c>
      <c r="E6" s="102" t="s">
        <v>107</v>
      </c>
      <c r="F6" s="103" t="s">
        <v>108</v>
      </c>
      <c r="G6" s="104" t="s">
        <v>4</v>
      </c>
      <c r="H6" s="105" t="s">
        <v>109</v>
      </c>
      <c r="I6" s="106" t="s">
        <v>110</v>
      </c>
    </row>
    <row r="7" spans="2:9" ht="15" thickBot="1" x14ac:dyDescent="0.25">
      <c r="B7" s="107" t="s">
        <v>0</v>
      </c>
      <c r="C7" s="105">
        <v>1</v>
      </c>
      <c r="D7" s="105"/>
      <c r="E7" s="105">
        <v>3</v>
      </c>
      <c r="F7" s="105">
        <v>4</v>
      </c>
      <c r="G7" s="108">
        <v>5</v>
      </c>
      <c r="H7" s="107">
        <v>6</v>
      </c>
      <c r="I7" s="109">
        <v>7</v>
      </c>
    </row>
    <row r="8" spans="2:9" ht="14.25" x14ac:dyDescent="0.2">
      <c r="B8" s="110"/>
      <c r="C8" s="111"/>
      <c r="D8" s="110"/>
      <c r="E8" s="110"/>
      <c r="F8" s="110"/>
      <c r="G8" s="112"/>
      <c r="H8" s="110"/>
      <c r="I8" s="110"/>
    </row>
    <row r="9" spans="2:9" ht="14.25" x14ac:dyDescent="0.2">
      <c r="B9" s="113" t="s">
        <v>111</v>
      </c>
      <c r="C9" s="114" t="s">
        <v>112</v>
      </c>
      <c r="D9" s="115">
        <v>37219</v>
      </c>
      <c r="E9" s="115">
        <v>37219</v>
      </c>
      <c r="F9" s="115">
        <v>0</v>
      </c>
      <c r="G9" s="116">
        <v>37219</v>
      </c>
      <c r="H9" s="115">
        <v>1381</v>
      </c>
      <c r="I9" s="115">
        <v>7</v>
      </c>
    </row>
    <row r="10" spans="2:9" ht="14.25" x14ac:dyDescent="0.2">
      <c r="B10" s="113" t="s">
        <v>113</v>
      </c>
      <c r="C10" s="114" t="s">
        <v>114</v>
      </c>
      <c r="D10" s="115">
        <v>271837</v>
      </c>
      <c r="E10" s="115">
        <v>271837</v>
      </c>
      <c r="F10" s="115">
        <v>0</v>
      </c>
      <c r="G10" s="116">
        <v>271837</v>
      </c>
      <c r="H10" s="115">
        <v>11996</v>
      </c>
      <c r="I10" s="115">
        <v>37105</v>
      </c>
    </row>
    <row r="11" spans="2:9" ht="14.25" x14ac:dyDescent="0.2">
      <c r="B11" s="113" t="s">
        <v>115</v>
      </c>
      <c r="C11" s="114" t="s">
        <v>116</v>
      </c>
      <c r="D11" s="115">
        <v>2150</v>
      </c>
      <c r="E11" s="115">
        <v>2150</v>
      </c>
      <c r="F11" s="115">
        <v>0</v>
      </c>
      <c r="G11" s="116">
        <v>2150</v>
      </c>
      <c r="H11" s="115">
        <v>0</v>
      </c>
      <c r="I11" s="115">
        <v>0</v>
      </c>
    </row>
    <row r="12" spans="2:9" ht="14.25" x14ac:dyDescent="0.2">
      <c r="B12" s="113" t="s">
        <v>117</v>
      </c>
      <c r="C12" s="114" t="s">
        <v>118</v>
      </c>
      <c r="D12" s="115">
        <v>15489</v>
      </c>
      <c r="E12" s="115">
        <v>15489</v>
      </c>
      <c r="F12" s="115">
        <v>0</v>
      </c>
      <c r="G12" s="116">
        <v>15489</v>
      </c>
      <c r="H12" s="115">
        <v>0</v>
      </c>
      <c r="I12" s="115">
        <v>0</v>
      </c>
    </row>
    <row r="13" spans="2:9" ht="14.25" x14ac:dyDescent="0.2">
      <c r="B13" s="113" t="s">
        <v>119</v>
      </c>
      <c r="C13" s="114" t="s">
        <v>120</v>
      </c>
      <c r="D13" s="115">
        <v>5069</v>
      </c>
      <c r="E13" s="115">
        <v>5069</v>
      </c>
      <c r="F13" s="115">
        <v>0</v>
      </c>
      <c r="G13" s="116">
        <v>5069</v>
      </c>
      <c r="H13" s="115">
        <v>0</v>
      </c>
      <c r="I13" s="115">
        <v>0</v>
      </c>
    </row>
    <row r="14" spans="2:9" ht="14.25" x14ac:dyDescent="0.2">
      <c r="B14" s="113"/>
      <c r="C14" s="114"/>
      <c r="D14" s="115"/>
      <c r="E14" s="115"/>
      <c r="F14" s="115" t="s">
        <v>121</v>
      </c>
      <c r="G14" s="116"/>
      <c r="H14" s="115"/>
      <c r="I14" s="115"/>
    </row>
    <row r="15" spans="2:9" ht="15" x14ac:dyDescent="0.25">
      <c r="B15" s="159" t="s">
        <v>122</v>
      </c>
      <c r="C15" s="160"/>
      <c r="D15" s="161">
        <v>331764</v>
      </c>
      <c r="E15" s="161">
        <v>331764</v>
      </c>
      <c r="F15" s="161">
        <v>0</v>
      </c>
      <c r="G15" s="162">
        <v>331764</v>
      </c>
      <c r="H15" s="161">
        <v>13377</v>
      </c>
      <c r="I15" s="161">
        <v>37112</v>
      </c>
    </row>
    <row r="16" spans="2:9" ht="14.25" x14ac:dyDescent="0.2">
      <c r="B16" s="113"/>
      <c r="C16" s="114"/>
      <c r="D16" s="115"/>
      <c r="E16" s="115"/>
      <c r="F16" s="115"/>
      <c r="G16" s="116"/>
      <c r="H16" s="115"/>
      <c r="I16" s="115"/>
    </row>
    <row r="17" spans="2:9" ht="14.25" x14ac:dyDescent="0.2">
      <c r="B17" s="113" t="s">
        <v>123</v>
      </c>
      <c r="C17" s="114" t="s">
        <v>124</v>
      </c>
      <c r="D17" s="115">
        <v>2449</v>
      </c>
      <c r="E17" s="115">
        <v>2449</v>
      </c>
      <c r="F17" s="115">
        <v>0</v>
      </c>
      <c r="G17" s="116">
        <v>2449</v>
      </c>
      <c r="H17" s="115">
        <v>2427</v>
      </c>
      <c r="I17" s="115">
        <v>0</v>
      </c>
    </row>
    <row r="18" spans="2:9" ht="14.25" x14ac:dyDescent="0.2">
      <c r="B18" s="113"/>
      <c r="C18" s="114"/>
      <c r="D18" s="115"/>
      <c r="E18" s="115"/>
      <c r="F18" s="115"/>
      <c r="G18" s="116"/>
      <c r="H18" s="115"/>
      <c r="I18" s="115"/>
    </row>
    <row r="19" spans="2:9" ht="15" x14ac:dyDescent="0.25">
      <c r="B19" s="163" t="s">
        <v>125</v>
      </c>
      <c r="C19" s="164"/>
      <c r="D19" s="165">
        <v>334213</v>
      </c>
      <c r="E19" s="165">
        <v>334213</v>
      </c>
      <c r="F19" s="165">
        <v>0</v>
      </c>
      <c r="G19" s="166">
        <v>334213</v>
      </c>
      <c r="H19" s="165">
        <v>15804</v>
      </c>
      <c r="I19" s="165">
        <v>37112</v>
      </c>
    </row>
    <row r="20" spans="2:9" ht="15" x14ac:dyDescent="0.25">
      <c r="B20" s="163"/>
      <c r="C20" s="164"/>
      <c r="D20" s="165"/>
      <c r="E20" s="165"/>
      <c r="F20" s="165"/>
      <c r="G20" s="166"/>
      <c r="H20" s="165"/>
      <c r="I20" s="165"/>
    </row>
    <row r="21" spans="2:9" ht="15" x14ac:dyDescent="0.25">
      <c r="B21" s="163" t="s">
        <v>126</v>
      </c>
      <c r="C21" s="117"/>
      <c r="D21" s="165">
        <v>147670</v>
      </c>
      <c r="E21" s="165">
        <v>34559</v>
      </c>
      <c r="F21" s="165">
        <v>0</v>
      </c>
      <c r="G21" s="165">
        <v>147670</v>
      </c>
      <c r="H21" s="165">
        <v>21950</v>
      </c>
      <c r="I21" s="165">
        <v>15605</v>
      </c>
    </row>
    <row r="22" spans="2:9" ht="15" x14ac:dyDescent="0.25">
      <c r="B22" s="118" t="s">
        <v>2</v>
      </c>
      <c r="C22" s="117"/>
      <c r="D22" s="165"/>
      <c r="E22" s="165"/>
      <c r="F22" s="165"/>
      <c r="G22" s="167"/>
      <c r="H22" s="119"/>
      <c r="I22" s="119"/>
    </row>
    <row r="23" spans="2:9" ht="14.25" x14ac:dyDescent="0.2">
      <c r="B23" s="113" t="s">
        <v>127</v>
      </c>
      <c r="C23" s="120"/>
      <c r="D23" s="115">
        <v>105573</v>
      </c>
      <c r="E23" s="115">
        <v>105573</v>
      </c>
      <c r="F23" s="115">
        <v>0</v>
      </c>
      <c r="G23" s="116">
        <v>105573</v>
      </c>
      <c r="H23" s="115">
        <v>21940</v>
      </c>
      <c r="I23" s="115">
        <v>15447</v>
      </c>
    </row>
    <row r="24" spans="2:9" ht="14.25" x14ac:dyDescent="0.2">
      <c r="B24" s="113" t="s">
        <v>128</v>
      </c>
      <c r="C24" s="114" t="s">
        <v>129</v>
      </c>
      <c r="D24" s="115">
        <v>110</v>
      </c>
      <c r="E24" s="115">
        <v>0</v>
      </c>
      <c r="F24" s="115">
        <v>0</v>
      </c>
      <c r="G24" s="116">
        <v>110</v>
      </c>
      <c r="H24" s="115">
        <v>0</v>
      </c>
      <c r="I24" s="115">
        <v>0</v>
      </c>
    </row>
    <row r="25" spans="2:9" ht="14.25" x14ac:dyDescent="0.2">
      <c r="B25" s="113" t="s">
        <v>130</v>
      </c>
      <c r="C25" s="120" t="s">
        <v>131</v>
      </c>
      <c r="D25" s="115">
        <v>0</v>
      </c>
      <c r="E25" s="115">
        <v>0</v>
      </c>
      <c r="F25" s="115">
        <v>0</v>
      </c>
      <c r="G25" s="116">
        <v>0</v>
      </c>
      <c r="H25" s="115">
        <v>0</v>
      </c>
      <c r="I25" s="115">
        <v>0</v>
      </c>
    </row>
    <row r="26" spans="2:9" ht="14.25" x14ac:dyDescent="0.2">
      <c r="B26" s="113" t="s">
        <v>132</v>
      </c>
      <c r="C26" s="114" t="s">
        <v>133</v>
      </c>
      <c r="D26" s="115">
        <v>34559</v>
      </c>
      <c r="E26" s="115">
        <v>34559</v>
      </c>
      <c r="F26" s="115">
        <v>0</v>
      </c>
      <c r="G26" s="116">
        <v>34559</v>
      </c>
      <c r="H26" s="115">
        <v>1</v>
      </c>
      <c r="I26" s="115">
        <v>132</v>
      </c>
    </row>
    <row r="27" spans="2:9" ht="14.25" x14ac:dyDescent="0.2">
      <c r="B27" s="113" t="s">
        <v>134</v>
      </c>
      <c r="C27" s="120"/>
      <c r="D27" s="121">
        <v>4058</v>
      </c>
      <c r="E27" s="121">
        <v>0</v>
      </c>
      <c r="F27" s="121">
        <v>0</v>
      </c>
      <c r="G27" s="116">
        <v>4058</v>
      </c>
      <c r="H27" s="115">
        <v>9</v>
      </c>
      <c r="I27" s="115">
        <v>8</v>
      </c>
    </row>
    <row r="28" spans="2:9" ht="14.25" x14ac:dyDescent="0.2">
      <c r="B28" s="113" t="s">
        <v>135</v>
      </c>
      <c r="C28" s="120" t="s">
        <v>136</v>
      </c>
      <c r="D28" s="121">
        <v>0</v>
      </c>
      <c r="E28" s="121">
        <v>0</v>
      </c>
      <c r="F28" s="121">
        <v>0</v>
      </c>
      <c r="G28" s="116">
        <v>0</v>
      </c>
      <c r="H28" s="115">
        <v>0</v>
      </c>
      <c r="I28" s="115">
        <v>0</v>
      </c>
    </row>
    <row r="29" spans="2:9" ht="14.25" x14ac:dyDescent="0.2">
      <c r="B29" s="113" t="s">
        <v>137</v>
      </c>
      <c r="C29" s="120" t="s">
        <v>138</v>
      </c>
      <c r="D29" s="121">
        <v>130</v>
      </c>
      <c r="E29" s="121">
        <v>0</v>
      </c>
      <c r="F29" s="121">
        <v>0</v>
      </c>
      <c r="G29" s="116">
        <v>130</v>
      </c>
      <c r="H29" s="115">
        <v>0</v>
      </c>
      <c r="I29" s="115">
        <v>0</v>
      </c>
    </row>
    <row r="30" spans="2:9" ht="14.25" x14ac:dyDescent="0.2">
      <c r="B30" s="113" t="s">
        <v>139</v>
      </c>
      <c r="C30" s="120"/>
      <c r="D30" s="121">
        <v>0</v>
      </c>
      <c r="E30" s="121">
        <v>0</v>
      </c>
      <c r="F30" s="121">
        <v>0</v>
      </c>
      <c r="G30" s="116">
        <v>0</v>
      </c>
      <c r="H30" s="115">
        <v>0</v>
      </c>
      <c r="I30" s="115">
        <v>0</v>
      </c>
    </row>
    <row r="31" spans="2:9" ht="14.25" x14ac:dyDescent="0.2">
      <c r="B31" s="113" t="s">
        <v>140</v>
      </c>
      <c r="C31" s="120" t="s">
        <v>141</v>
      </c>
      <c r="D31" s="121">
        <v>3240</v>
      </c>
      <c r="E31" s="121">
        <v>0</v>
      </c>
      <c r="F31" s="121">
        <v>0</v>
      </c>
      <c r="G31" s="116">
        <v>3240</v>
      </c>
      <c r="H31" s="115">
        <v>0</v>
      </c>
      <c r="I31" s="115">
        <v>18</v>
      </c>
    </row>
    <row r="32" spans="2:9" ht="15" thickBot="1" x14ac:dyDescent="0.25">
      <c r="B32" s="113" t="s">
        <v>142</v>
      </c>
      <c r="C32" s="120" t="s">
        <v>143</v>
      </c>
      <c r="D32" s="122">
        <v>0</v>
      </c>
      <c r="E32" s="122">
        <v>0</v>
      </c>
      <c r="F32" s="122">
        <v>0</v>
      </c>
      <c r="G32" s="116">
        <v>0</v>
      </c>
      <c r="H32" s="115">
        <v>0</v>
      </c>
      <c r="I32" s="115">
        <v>0</v>
      </c>
    </row>
    <row r="33" spans="2:9" ht="15.75" thickBot="1" x14ac:dyDescent="0.3">
      <c r="B33" s="168" t="s">
        <v>144</v>
      </c>
      <c r="C33" s="168"/>
      <c r="D33" s="169">
        <v>481883</v>
      </c>
      <c r="E33" s="169">
        <v>202508</v>
      </c>
      <c r="F33" s="169">
        <v>0</v>
      </c>
      <c r="G33" s="169">
        <v>481883</v>
      </c>
      <c r="H33" s="169">
        <v>37754</v>
      </c>
      <c r="I33" s="169">
        <v>52717</v>
      </c>
    </row>
    <row r="34" spans="2:9" ht="14.25" x14ac:dyDescent="0.2">
      <c r="B34" s="123"/>
      <c r="C34" s="123"/>
      <c r="D34" s="124"/>
      <c r="E34" s="124"/>
      <c r="F34" s="124"/>
      <c r="G34" s="124"/>
      <c r="H34" s="124"/>
    </row>
    <row r="35" spans="2:9" ht="15" x14ac:dyDescent="0.25">
      <c r="B35" s="123" t="s">
        <v>170</v>
      </c>
      <c r="C35" s="123"/>
      <c r="D35" s="124"/>
      <c r="E35" s="162"/>
    </row>
    <row r="36" spans="2:9" ht="15" thickBot="1" x14ac:dyDescent="0.25">
      <c r="B36" s="125" t="s">
        <v>145</v>
      </c>
      <c r="C36" s="126"/>
      <c r="I36" s="127" t="s">
        <v>146</v>
      </c>
    </row>
    <row r="37" spans="2:9" ht="15" thickBot="1" x14ac:dyDescent="0.25">
      <c r="B37" s="128" t="s">
        <v>147</v>
      </c>
      <c r="C37" s="129" t="s">
        <v>148</v>
      </c>
      <c r="D37" s="170" t="s">
        <v>149</v>
      </c>
      <c r="E37" s="170" t="s">
        <v>150</v>
      </c>
      <c r="F37" s="170" t="s">
        <v>151</v>
      </c>
      <c r="G37" s="170" t="s">
        <v>160</v>
      </c>
      <c r="H37" s="170" t="s">
        <v>171</v>
      </c>
      <c r="I37" s="171" t="s">
        <v>152</v>
      </c>
    </row>
    <row r="38" spans="2:9" ht="14.25" x14ac:dyDescent="0.2">
      <c r="B38" s="130" t="s">
        <v>153</v>
      </c>
      <c r="C38" s="131">
        <v>100000</v>
      </c>
      <c r="D38" s="172">
        <v>60000</v>
      </c>
      <c r="E38" s="173"/>
      <c r="F38" s="173"/>
      <c r="G38" s="173"/>
      <c r="H38" s="173"/>
      <c r="I38" s="132">
        <v>160000</v>
      </c>
    </row>
    <row r="39" spans="2:9" ht="14.25" x14ac:dyDescent="0.2">
      <c r="B39" s="130" t="s">
        <v>154</v>
      </c>
      <c r="C39" s="133">
        <v>299000</v>
      </c>
      <c r="D39" s="172">
        <v>20000</v>
      </c>
      <c r="E39" s="172">
        <v>50000</v>
      </c>
      <c r="F39" s="173"/>
      <c r="G39" s="173"/>
      <c r="H39" s="173"/>
      <c r="I39" s="132">
        <v>369000</v>
      </c>
    </row>
    <row r="40" spans="2:9" ht="14.25" x14ac:dyDescent="0.2">
      <c r="B40" s="130" t="s">
        <v>155</v>
      </c>
      <c r="C40" s="133">
        <v>197000</v>
      </c>
      <c r="D40" s="172">
        <v>41000</v>
      </c>
      <c r="E40" s="172">
        <v>75000</v>
      </c>
      <c r="F40" s="172">
        <v>45000</v>
      </c>
      <c r="G40" s="173"/>
      <c r="H40" s="173"/>
      <c r="I40" s="132">
        <v>358000</v>
      </c>
    </row>
    <row r="41" spans="2:9" ht="14.25" x14ac:dyDescent="0.2">
      <c r="B41" s="130" t="s">
        <v>156</v>
      </c>
      <c r="C41" s="133">
        <v>338000</v>
      </c>
      <c r="D41" s="173"/>
      <c r="E41" s="173">
        <v>40000</v>
      </c>
      <c r="F41" s="172">
        <v>49000</v>
      </c>
      <c r="G41" s="172">
        <v>122000</v>
      </c>
      <c r="H41" s="172">
        <v>25000</v>
      </c>
      <c r="I41" s="132">
        <v>574000</v>
      </c>
    </row>
    <row r="42" spans="2:9" ht="15" thickBot="1" x14ac:dyDescent="0.25">
      <c r="B42" s="130"/>
      <c r="C42" s="134"/>
      <c r="D42" s="173"/>
      <c r="E42" s="173"/>
      <c r="F42" s="173"/>
      <c r="G42" s="173"/>
      <c r="H42" s="173"/>
      <c r="I42" s="132"/>
    </row>
    <row r="43" spans="2:9" ht="15" thickBot="1" x14ac:dyDescent="0.25">
      <c r="B43" s="128" t="s">
        <v>157</v>
      </c>
      <c r="C43" s="135">
        <v>934000</v>
      </c>
      <c r="D43" s="135">
        <v>121000</v>
      </c>
      <c r="E43" s="135">
        <v>165000</v>
      </c>
      <c r="F43" s="135">
        <v>94000</v>
      </c>
      <c r="G43" s="135">
        <v>122000</v>
      </c>
      <c r="H43" s="135">
        <v>25000</v>
      </c>
      <c r="I43" s="136">
        <v>1461000</v>
      </c>
    </row>
    <row r="45" spans="2:9" ht="14.25" x14ac:dyDescent="0.2">
      <c r="B45" s="137" t="s">
        <v>158</v>
      </c>
      <c r="C45" s="138"/>
      <c r="D45" s="138"/>
    </row>
    <row r="46" spans="2:9" ht="15" thickBot="1" x14ac:dyDescent="0.25">
      <c r="B46" s="139" t="s">
        <v>2</v>
      </c>
      <c r="C46" s="138"/>
      <c r="G46" s="140" t="s">
        <v>146</v>
      </c>
    </row>
    <row r="47" spans="2:9" ht="14.25" x14ac:dyDescent="0.2">
      <c r="B47" s="141" t="s">
        <v>147</v>
      </c>
      <c r="C47" s="142" t="s">
        <v>153</v>
      </c>
      <c r="D47" s="142" t="s">
        <v>154</v>
      </c>
      <c r="E47" s="142" t="s">
        <v>155</v>
      </c>
      <c r="F47" s="142" t="s">
        <v>156</v>
      </c>
      <c r="G47" s="142" t="s">
        <v>4</v>
      </c>
    </row>
    <row r="48" spans="2:9" ht="15" thickBot="1" x14ac:dyDescent="0.25">
      <c r="B48" s="143"/>
      <c r="C48" s="144" t="s">
        <v>152</v>
      </c>
      <c r="D48" s="144" t="s">
        <v>152</v>
      </c>
      <c r="E48" s="144" t="s">
        <v>152</v>
      </c>
      <c r="F48" s="144" t="s">
        <v>152</v>
      </c>
      <c r="G48" s="144"/>
    </row>
    <row r="49" spans="2:7" ht="14.25" x14ac:dyDescent="0.2">
      <c r="B49" s="145" t="s">
        <v>153</v>
      </c>
      <c r="C49" s="146">
        <v>259713</v>
      </c>
      <c r="D49" s="173"/>
      <c r="E49" s="173"/>
      <c r="F49" s="173"/>
      <c r="G49" s="133">
        <v>259713</v>
      </c>
    </row>
    <row r="50" spans="2:7" ht="14.25" x14ac:dyDescent="0.2">
      <c r="B50" s="145" t="s">
        <v>154</v>
      </c>
      <c r="C50" s="146"/>
      <c r="D50" s="172">
        <v>259714</v>
      </c>
      <c r="E50" s="173"/>
      <c r="F50" s="173"/>
      <c r="G50" s="133">
        <v>259714</v>
      </c>
    </row>
    <row r="51" spans="2:7" ht="14.25" x14ac:dyDescent="0.2">
      <c r="B51" s="145" t="s">
        <v>155</v>
      </c>
      <c r="C51" s="146"/>
      <c r="D51" s="173"/>
      <c r="E51" s="172">
        <v>259713</v>
      </c>
      <c r="F51" s="173"/>
      <c r="G51" s="133">
        <v>259713</v>
      </c>
    </row>
    <row r="52" spans="2:7" ht="14.25" x14ac:dyDescent="0.2">
      <c r="B52" s="145" t="s">
        <v>156</v>
      </c>
      <c r="C52" s="147"/>
      <c r="D52" s="173"/>
      <c r="E52" s="173"/>
      <c r="F52" s="172">
        <v>121755</v>
      </c>
      <c r="G52" s="133">
        <v>121755</v>
      </c>
    </row>
    <row r="53" spans="2:7" ht="15" thickBot="1" x14ac:dyDescent="0.25">
      <c r="B53" s="145"/>
      <c r="C53" s="147"/>
      <c r="D53" s="173"/>
      <c r="E53" s="173"/>
      <c r="F53" s="173"/>
      <c r="G53" s="133"/>
    </row>
    <row r="54" spans="2:7" ht="15" thickBot="1" x14ac:dyDescent="0.25">
      <c r="B54" s="148" t="s">
        <v>157</v>
      </c>
      <c r="C54" s="149">
        <v>259713</v>
      </c>
      <c r="D54" s="149">
        <v>259714</v>
      </c>
      <c r="E54" s="149">
        <v>259713</v>
      </c>
      <c r="F54" s="149">
        <v>121755</v>
      </c>
      <c r="G54" s="135">
        <v>900895</v>
      </c>
    </row>
    <row r="55" spans="2:7" ht="14.25" x14ac:dyDescent="0.2">
      <c r="B55" s="150"/>
      <c r="C55" s="151"/>
      <c r="D55" s="151"/>
    </row>
    <row r="56" spans="2:7" ht="14.25" x14ac:dyDescent="0.2">
      <c r="B56" s="96"/>
      <c r="C56" s="126"/>
      <c r="D56" s="126"/>
    </row>
    <row r="57" spans="2:7" ht="14.25" x14ac:dyDescent="0.2">
      <c r="B57" s="96"/>
    </row>
  </sheetData>
  <pageMargins left="0.46" right="0.43" top="0.74803149606299213" bottom="0.74803149606299213" header="0.31496062992125984" footer="0.31496062992125984"/>
  <pageSetup paperSize="9" scale="5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2"/>
  <sheetViews>
    <sheetView zoomScale="75" workbookViewId="0"/>
  </sheetViews>
  <sheetFormatPr defaultRowHeight="12.75" x14ac:dyDescent="0.2"/>
  <cols>
    <col min="1" max="1" width="24" style="280" customWidth="1"/>
    <col min="2" max="2" width="17.7109375" style="280" customWidth="1"/>
    <col min="3" max="4" width="16" style="280" customWidth="1"/>
    <col min="5" max="5" width="15.85546875" style="280" customWidth="1"/>
    <col min="6" max="6" width="16" style="280" customWidth="1"/>
    <col min="7" max="7" width="15.7109375" style="280" customWidth="1"/>
    <col min="8" max="8" width="15.85546875" style="280" customWidth="1"/>
    <col min="9" max="9" width="16.140625" style="280" customWidth="1"/>
    <col min="10" max="10" width="14.7109375" style="280" customWidth="1"/>
    <col min="11" max="11" width="17.7109375" style="280" customWidth="1"/>
    <col min="12" max="12" width="14.85546875" style="280" customWidth="1"/>
    <col min="13" max="13" width="16" style="280" customWidth="1"/>
    <col min="14" max="14" width="16.85546875" style="280" customWidth="1"/>
    <col min="15" max="15" width="16.140625" style="280" bestFit="1" customWidth="1"/>
    <col min="16" max="16" width="16.7109375" style="280" bestFit="1" customWidth="1"/>
    <col min="17" max="17" width="14.85546875" style="280" bestFit="1" customWidth="1"/>
    <col min="18" max="18" width="16.140625" style="280" bestFit="1" customWidth="1"/>
    <col min="19" max="19" width="14.85546875" style="280" bestFit="1" customWidth="1"/>
    <col min="20" max="20" width="15" style="280" hidden="1" customWidth="1"/>
    <col min="21" max="16384" width="9.140625" style="280"/>
  </cols>
  <sheetData>
    <row r="2" spans="1:20" ht="20.25" x14ac:dyDescent="0.3">
      <c r="A2" s="277" t="s">
        <v>243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9"/>
      <c r="O2" s="279"/>
      <c r="P2" s="278"/>
      <c r="Q2" s="278"/>
      <c r="R2" s="278"/>
      <c r="S2" s="278"/>
    </row>
    <row r="4" spans="1:20" ht="15.75" thickBot="1" x14ac:dyDescent="0.25">
      <c r="J4" s="281"/>
      <c r="K4" s="281"/>
      <c r="L4" s="281"/>
      <c r="M4" s="281"/>
      <c r="N4" s="282" t="s">
        <v>244</v>
      </c>
      <c r="S4" s="283"/>
      <c r="T4" s="281" t="s">
        <v>245</v>
      </c>
    </row>
    <row r="5" spans="1:20" ht="33.75" customHeight="1" x14ac:dyDescent="0.25">
      <c r="A5" s="284" t="s">
        <v>246</v>
      </c>
      <c r="B5" s="285" t="s">
        <v>247</v>
      </c>
      <c r="C5" s="286"/>
      <c r="D5" s="286"/>
      <c r="E5" s="287"/>
      <c r="F5" s="286"/>
      <c r="G5" s="286"/>
      <c r="H5" s="286"/>
      <c r="I5" s="286"/>
      <c r="J5" s="288"/>
      <c r="K5" s="288"/>
      <c r="L5" s="288"/>
      <c r="M5" s="288"/>
      <c r="N5" s="288"/>
      <c r="T5" s="288"/>
    </row>
    <row r="6" spans="1:20" ht="30" customHeight="1" x14ac:dyDescent="0.25">
      <c r="A6" s="289"/>
      <c r="B6" s="290" t="s">
        <v>248</v>
      </c>
      <c r="C6" s="291" t="s">
        <v>249</v>
      </c>
      <c r="D6" s="292"/>
      <c r="E6" s="292"/>
      <c r="F6" s="292"/>
      <c r="G6" s="292"/>
      <c r="H6" s="292"/>
      <c r="I6" s="292"/>
      <c r="J6" s="293"/>
      <c r="K6" s="293"/>
      <c r="L6" s="293"/>
      <c r="M6" s="293"/>
      <c r="N6" s="293"/>
      <c r="T6" s="293"/>
    </row>
    <row r="7" spans="1:20" ht="29.25" customHeight="1" thickBot="1" x14ac:dyDescent="0.25">
      <c r="A7" s="289"/>
      <c r="B7" s="289"/>
      <c r="C7" s="294" t="s">
        <v>250</v>
      </c>
      <c r="D7" s="295" t="s">
        <v>72</v>
      </c>
      <c r="E7" s="295" t="s">
        <v>91</v>
      </c>
      <c r="F7" s="295" t="s">
        <v>92</v>
      </c>
      <c r="G7" s="295" t="s">
        <v>93</v>
      </c>
      <c r="H7" s="295" t="s">
        <v>94</v>
      </c>
      <c r="I7" s="295" t="s">
        <v>96</v>
      </c>
      <c r="J7" s="295" t="s">
        <v>97</v>
      </c>
      <c r="K7" s="295" t="s">
        <v>99</v>
      </c>
      <c r="L7" s="295" t="s">
        <v>100</v>
      </c>
      <c r="M7" s="295" t="s">
        <v>159</v>
      </c>
      <c r="N7" s="296" t="s">
        <v>161</v>
      </c>
      <c r="T7" s="297" t="s">
        <v>99</v>
      </c>
    </row>
    <row r="8" spans="1:20" ht="13.5" thickBot="1" x14ac:dyDescent="0.25">
      <c r="A8" s="298" t="s">
        <v>0</v>
      </c>
      <c r="B8" s="298">
        <v>1</v>
      </c>
      <c r="C8" s="299">
        <v>2</v>
      </c>
      <c r="D8" s="300">
        <v>3</v>
      </c>
      <c r="E8" s="300">
        <v>4</v>
      </c>
      <c r="F8" s="300">
        <v>5</v>
      </c>
      <c r="G8" s="300">
        <v>6</v>
      </c>
      <c r="H8" s="300">
        <v>7</v>
      </c>
      <c r="I8" s="300">
        <v>8</v>
      </c>
      <c r="J8" s="300">
        <v>9</v>
      </c>
      <c r="K8" s="300">
        <v>10</v>
      </c>
      <c r="L8" s="300">
        <v>11</v>
      </c>
      <c r="M8" s="300">
        <v>12</v>
      </c>
      <c r="N8" s="301">
        <v>13</v>
      </c>
      <c r="T8" s="301">
        <v>20</v>
      </c>
    </row>
    <row r="9" spans="1:20" ht="36.75" customHeight="1" x14ac:dyDescent="0.25">
      <c r="A9" s="302" t="s">
        <v>251</v>
      </c>
      <c r="B9" s="303">
        <v>126000000</v>
      </c>
      <c r="C9" s="304">
        <v>11572878</v>
      </c>
      <c r="D9" s="305">
        <v>5229443</v>
      </c>
      <c r="E9" s="305">
        <v>7700431</v>
      </c>
      <c r="F9" s="305">
        <v>8639271</v>
      </c>
      <c r="G9" s="305">
        <v>8655832</v>
      </c>
      <c r="H9" s="305">
        <v>7927273</v>
      </c>
      <c r="I9" s="305">
        <v>12487771</v>
      </c>
      <c r="J9" s="305">
        <v>8706648</v>
      </c>
      <c r="K9" s="305">
        <v>8383059</v>
      </c>
      <c r="L9" s="305">
        <v>9140804</v>
      </c>
      <c r="M9" s="305">
        <v>12852995</v>
      </c>
      <c r="N9" s="306">
        <v>23455878</v>
      </c>
      <c r="P9" s="307"/>
      <c r="T9" s="306">
        <v>4184888</v>
      </c>
    </row>
    <row r="10" spans="1:20" ht="23.25" customHeight="1" thickBot="1" x14ac:dyDescent="0.25">
      <c r="A10" s="308"/>
      <c r="B10" s="309"/>
      <c r="C10" s="310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2"/>
      <c r="T10" s="312" t="s">
        <v>252</v>
      </c>
    </row>
    <row r="11" spans="1:20" x14ac:dyDescent="0.2">
      <c r="P11" s="307"/>
    </row>
    <row r="14" spans="1:20" ht="15.75" thickBot="1" x14ac:dyDescent="0.25">
      <c r="J14" s="281"/>
      <c r="K14" s="281"/>
      <c r="L14" s="281"/>
      <c r="M14" s="281"/>
      <c r="N14" s="282" t="s">
        <v>244</v>
      </c>
    </row>
    <row r="15" spans="1:20" ht="34.5" customHeight="1" x14ac:dyDescent="0.25">
      <c r="A15" s="284" t="s">
        <v>246</v>
      </c>
      <c r="B15" s="285" t="s">
        <v>253</v>
      </c>
      <c r="C15" s="286"/>
      <c r="D15" s="286"/>
      <c r="E15" s="287"/>
      <c r="F15" s="286"/>
      <c r="G15" s="286"/>
      <c r="H15" s="286"/>
      <c r="I15" s="286"/>
      <c r="J15" s="288"/>
      <c r="K15" s="288"/>
      <c r="L15" s="288"/>
      <c r="M15" s="288"/>
      <c r="N15" s="288"/>
    </row>
    <row r="16" spans="1:20" ht="30" customHeight="1" x14ac:dyDescent="0.25">
      <c r="A16" s="289"/>
      <c r="B16" s="290" t="s">
        <v>254</v>
      </c>
      <c r="C16" s="291" t="s">
        <v>249</v>
      </c>
      <c r="D16" s="292"/>
      <c r="E16" s="292"/>
      <c r="F16" s="292"/>
      <c r="G16" s="292"/>
      <c r="H16" s="292"/>
      <c r="I16" s="292"/>
      <c r="J16" s="293"/>
      <c r="K16" s="293"/>
      <c r="L16" s="293"/>
      <c r="M16" s="293"/>
      <c r="N16" s="293"/>
    </row>
    <row r="17" spans="1:16" ht="30" customHeight="1" thickBot="1" x14ac:dyDescent="0.3">
      <c r="A17" s="289"/>
      <c r="B17" s="290" t="s">
        <v>255</v>
      </c>
      <c r="C17" s="313" t="s">
        <v>250</v>
      </c>
      <c r="D17" s="314" t="s">
        <v>72</v>
      </c>
      <c r="E17" s="314" t="s">
        <v>91</v>
      </c>
      <c r="F17" s="314" t="s">
        <v>92</v>
      </c>
      <c r="G17" s="314" t="s">
        <v>93</v>
      </c>
      <c r="H17" s="314" t="s">
        <v>94</v>
      </c>
      <c r="I17" s="314" t="s">
        <v>96</v>
      </c>
      <c r="J17" s="314" t="s">
        <v>97</v>
      </c>
      <c r="K17" s="314" t="s">
        <v>99</v>
      </c>
      <c r="L17" s="314" t="s">
        <v>100</v>
      </c>
      <c r="M17" s="295" t="s">
        <v>159</v>
      </c>
      <c r="N17" s="296" t="s">
        <v>161</v>
      </c>
    </row>
    <row r="18" spans="1:16" ht="13.5" thickBot="1" x14ac:dyDescent="0.25">
      <c r="A18" s="298" t="s">
        <v>0</v>
      </c>
      <c r="B18" s="298">
        <v>1</v>
      </c>
      <c r="C18" s="299">
        <v>2</v>
      </c>
      <c r="D18" s="300">
        <v>3</v>
      </c>
      <c r="E18" s="300">
        <v>4</v>
      </c>
      <c r="F18" s="300">
        <v>5</v>
      </c>
      <c r="G18" s="300">
        <v>6</v>
      </c>
      <c r="H18" s="300">
        <v>7</v>
      </c>
      <c r="I18" s="300">
        <v>8</v>
      </c>
      <c r="J18" s="300">
        <v>9</v>
      </c>
      <c r="K18" s="300">
        <v>10</v>
      </c>
      <c r="L18" s="300">
        <v>11</v>
      </c>
      <c r="M18" s="300">
        <v>12</v>
      </c>
      <c r="N18" s="301">
        <v>13</v>
      </c>
    </row>
    <row r="19" spans="1:16" ht="37.5" customHeight="1" x14ac:dyDescent="0.25">
      <c r="A19" s="302" t="s">
        <v>251</v>
      </c>
      <c r="B19" s="303">
        <v>126000000</v>
      </c>
      <c r="C19" s="304">
        <v>7217526</v>
      </c>
      <c r="D19" s="305">
        <v>8070063</v>
      </c>
      <c r="E19" s="305">
        <v>8099770</v>
      </c>
      <c r="F19" s="305">
        <v>10001154</v>
      </c>
      <c r="G19" s="305">
        <v>7927487</v>
      </c>
      <c r="H19" s="305">
        <v>10891179</v>
      </c>
      <c r="I19" s="305">
        <v>9952189</v>
      </c>
      <c r="J19" s="305">
        <v>8771441</v>
      </c>
      <c r="K19" s="305">
        <v>9764163</v>
      </c>
      <c r="L19" s="305">
        <f>9354809+11</f>
        <v>9354820</v>
      </c>
      <c r="M19" s="305">
        <v>10307430</v>
      </c>
      <c r="N19" s="306">
        <f>22275659+923728</f>
        <v>23199387</v>
      </c>
      <c r="P19" s="307"/>
    </row>
    <row r="20" spans="1:16" ht="23.25" customHeight="1" thickBot="1" x14ac:dyDescent="0.25">
      <c r="A20" s="308"/>
      <c r="B20" s="309"/>
      <c r="C20" s="310"/>
      <c r="D20" s="311"/>
      <c r="E20" s="311"/>
      <c r="F20" s="311"/>
      <c r="G20" s="311"/>
      <c r="H20" s="311"/>
      <c r="I20" s="311"/>
      <c r="J20" s="311"/>
      <c r="K20" s="311"/>
      <c r="L20" s="311"/>
      <c r="M20" s="311"/>
      <c r="N20" s="312"/>
    </row>
    <row r="21" spans="1:16" x14ac:dyDescent="0.2">
      <c r="P21" s="307"/>
    </row>
    <row r="22" spans="1:16" x14ac:dyDescent="0.2">
      <c r="A22" s="315"/>
    </row>
  </sheetData>
  <printOptions horizontalCentered="1"/>
  <pageMargins left="0" right="0" top="1.5748031496062993" bottom="0" header="0" footer="0"/>
  <pageSetup paperSize="9" scale="44" orientation="landscape" horizontalDpi="4294967295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4"/>
  <sheetViews>
    <sheetView topLeftCell="B1" workbookViewId="0">
      <selection activeCell="H32" sqref="H32"/>
    </sheetView>
  </sheetViews>
  <sheetFormatPr defaultColWidth="11.42578125" defaultRowHeight="15" x14ac:dyDescent="0.25"/>
  <cols>
    <col min="1" max="1" width="1.7109375" style="316" customWidth="1"/>
    <col min="2" max="2" width="29.42578125" style="316" customWidth="1"/>
    <col min="3" max="3" width="17.5703125" style="316" customWidth="1"/>
    <col min="4" max="4" width="18.140625" style="316" customWidth="1"/>
    <col min="5" max="5" width="17.28515625" style="316" customWidth="1"/>
    <col min="6" max="6" width="18.140625" style="316" customWidth="1"/>
    <col min="7" max="7" width="15.7109375" style="316" customWidth="1"/>
    <col min="8" max="8" width="18.7109375" style="316" bestFit="1" customWidth="1"/>
    <col min="9" max="9" width="17" style="316" customWidth="1"/>
    <col min="10" max="10" width="20" style="316" customWidth="1"/>
    <col min="11" max="11" width="15" style="316" customWidth="1"/>
    <col min="12" max="254" width="11.42578125" style="316"/>
    <col min="255" max="255" width="1.7109375" style="316" customWidth="1"/>
    <col min="256" max="256" width="30.7109375" style="316" customWidth="1"/>
    <col min="257" max="259" width="14.7109375" style="316" customWidth="1"/>
    <col min="260" max="260" width="17.28515625" style="316" bestFit="1" customWidth="1"/>
    <col min="261" max="261" width="14.7109375" style="316" customWidth="1"/>
    <col min="262" max="262" width="18.7109375" style="316" bestFit="1" customWidth="1"/>
    <col min="263" max="263" width="14.7109375" style="316" customWidth="1"/>
    <col min="264" max="264" width="16.85546875" style="316" customWidth="1"/>
    <col min="265" max="510" width="11.42578125" style="316"/>
    <col min="511" max="511" width="1.7109375" style="316" customWidth="1"/>
    <col min="512" max="512" width="30.7109375" style="316" customWidth="1"/>
    <col min="513" max="515" width="14.7109375" style="316" customWidth="1"/>
    <col min="516" max="516" width="17.28515625" style="316" bestFit="1" customWidth="1"/>
    <col min="517" max="517" width="14.7109375" style="316" customWidth="1"/>
    <col min="518" max="518" width="18.7109375" style="316" bestFit="1" customWidth="1"/>
    <col min="519" max="519" width="14.7109375" style="316" customWidth="1"/>
    <col min="520" max="520" width="16.85546875" style="316" customWidth="1"/>
    <col min="521" max="766" width="11.42578125" style="316"/>
    <col min="767" max="767" width="1.7109375" style="316" customWidth="1"/>
    <col min="768" max="768" width="30.7109375" style="316" customWidth="1"/>
    <col min="769" max="771" width="14.7109375" style="316" customWidth="1"/>
    <col min="772" max="772" width="17.28515625" style="316" bestFit="1" customWidth="1"/>
    <col min="773" max="773" width="14.7109375" style="316" customWidth="1"/>
    <col min="774" max="774" width="18.7109375" style="316" bestFit="1" customWidth="1"/>
    <col min="775" max="775" width="14.7109375" style="316" customWidth="1"/>
    <col min="776" max="776" width="16.85546875" style="316" customWidth="1"/>
    <col min="777" max="1022" width="11.42578125" style="316"/>
    <col min="1023" max="1023" width="1.7109375" style="316" customWidth="1"/>
    <col min="1024" max="1024" width="30.7109375" style="316" customWidth="1"/>
    <col min="1025" max="1027" width="14.7109375" style="316" customWidth="1"/>
    <col min="1028" max="1028" width="17.28515625" style="316" bestFit="1" customWidth="1"/>
    <col min="1029" max="1029" width="14.7109375" style="316" customWidth="1"/>
    <col min="1030" max="1030" width="18.7109375" style="316" bestFit="1" customWidth="1"/>
    <col min="1031" max="1031" width="14.7109375" style="316" customWidth="1"/>
    <col min="1032" max="1032" width="16.85546875" style="316" customWidth="1"/>
    <col min="1033" max="1278" width="11.42578125" style="316"/>
    <col min="1279" max="1279" width="1.7109375" style="316" customWidth="1"/>
    <col min="1280" max="1280" width="30.7109375" style="316" customWidth="1"/>
    <col min="1281" max="1283" width="14.7109375" style="316" customWidth="1"/>
    <col min="1284" max="1284" width="17.28515625" style="316" bestFit="1" customWidth="1"/>
    <col min="1285" max="1285" width="14.7109375" style="316" customWidth="1"/>
    <col min="1286" max="1286" width="18.7109375" style="316" bestFit="1" customWidth="1"/>
    <col min="1287" max="1287" width="14.7109375" style="316" customWidth="1"/>
    <col min="1288" max="1288" width="16.85546875" style="316" customWidth="1"/>
    <col min="1289" max="1534" width="11.42578125" style="316"/>
    <col min="1535" max="1535" width="1.7109375" style="316" customWidth="1"/>
    <col min="1536" max="1536" width="30.7109375" style="316" customWidth="1"/>
    <col min="1537" max="1539" width="14.7109375" style="316" customWidth="1"/>
    <col min="1540" max="1540" width="17.28515625" style="316" bestFit="1" customWidth="1"/>
    <col min="1541" max="1541" width="14.7109375" style="316" customWidth="1"/>
    <col min="1542" max="1542" width="18.7109375" style="316" bestFit="1" customWidth="1"/>
    <col min="1543" max="1543" width="14.7109375" style="316" customWidth="1"/>
    <col min="1544" max="1544" width="16.85546875" style="316" customWidth="1"/>
    <col min="1545" max="1790" width="11.42578125" style="316"/>
    <col min="1791" max="1791" width="1.7109375" style="316" customWidth="1"/>
    <col min="1792" max="1792" width="30.7109375" style="316" customWidth="1"/>
    <col min="1793" max="1795" width="14.7109375" style="316" customWidth="1"/>
    <col min="1796" max="1796" width="17.28515625" style="316" bestFit="1" customWidth="1"/>
    <col min="1797" max="1797" width="14.7109375" style="316" customWidth="1"/>
    <col min="1798" max="1798" width="18.7109375" style="316" bestFit="1" customWidth="1"/>
    <col min="1799" max="1799" width="14.7109375" style="316" customWidth="1"/>
    <col min="1800" max="1800" width="16.85546875" style="316" customWidth="1"/>
    <col min="1801" max="2046" width="11.42578125" style="316"/>
    <col min="2047" max="2047" width="1.7109375" style="316" customWidth="1"/>
    <col min="2048" max="2048" width="30.7109375" style="316" customWidth="1"/>
    <col min="2049" max="2051" width="14.7109375" style="316" customWidth="1"/>
    <col min="2052" max="2052" width="17.28515625" style="316" bestFit="1" customWidth="1"/>
    <col min="2053" max="2053" width="14.7109375" style="316" customWidth="1"/>
    <col min="2054" max="2054" width="18.7109375" style="316" bestFit="1" customWidth="1"/>
    <col min="2055" max="2055" width="14.7109375" style="316" customWidth="1"/>
    <col min="2056" max="2056" width="16.85546875" style="316" customWidth="1"/>
    <col min="2057" max="2302" width="11.42578125" style="316"/>
    <col min="2303" max="2303" width="1.7109375" style="316" customWidth="1"/>
    <col min="2304" max="2304" width="30.7109375" style="316" customWidth="1"/>
    <col min="2305" max="2307" width="14.7109375" style="316" customWidth="1"/>
    <col min="2308" max="2308" width="17.28515625" style="316" bestFit="1" customWidth="1"/>
    <col min="2309" max="2309" width="14.7109375" style="316" customWidth="1"/>
    <col min="2310" max="2310" width="18.7109375" style="316" bestFit="1" customWidth="1"/>
    <col min="2311" max="2311" width="14.7109375" style="316" customWidth="1"/>
    <col min="2312" max="2312" width="16.85546875" style="316" customWidth="1"/>
    <col min="2313" max="2558" width="11.42578125" style="316"/>
    <col min="2559" max="2559" width="1.7109375" style="316" customWidth="1"/>
    <col min="2560" max="2560" width="30.7109375" style="316" customWidth="1"/>
    <col min="2561" max="2563" width="14.7109375" style="316" customWidth="1"/>
    <col min="2564" max="2564" width="17.28515625" style="316" bestFit="1" customWidth="1"/>
    <col min="2565" max="2565" width="14.7109375" style="316" customWidth="1"/>
    <col min="2566" max="2566" width="18.7109375" style="316" bestFit="1" customWidth="1"/>
    <col min="2567" max="2567" width="14.7109375" style="316" customWidth="1"/>
    <col min="2568" max="2568" width="16.85546875" style="316" customWidth="1"/>
    <col min="2569" max="2814" width="11.42578125" style="316"/>
    <col min="2815" max="2815" width="1.7109375" style="316" customWidth="1"/>
    <col min="2816" max="2816" width="30.7109375" style="316" customWidth="1"/>
    <col min="2817" max="2819" width="14.7109375" style="316" customWidth="1"/>
    <col min="2820" max="2820" width="17.28515625" style="316" bestFit="1" customWidth="1"/>
    <col min="2821" max="2821" width="14.7109375" style="316" customWidth="1"/>
    <col min="2822" max="2822" width="18.7109375" style="316" bestFit="1" customWidth="1"/>
    <col min="2823" max="2823" width="14.7109375" style="316" customWidth="1"/>
    <col min="2824" max="2824" width="16.85546875" style="316" customWidth="1"/>
    <col min="2825" max="3070" width="11.42578125" style="316"/>
    <col min="3071" max="3071" width="1.7109375" style="316" customWidth="1"/>
    <col min="3072" max="3072" width="30.7109375" style="316" customWidth="1"/>
    <col min="3073" max="3075" width="14.7109375" style="316" customWidth="1"/>
    <col min="3076" max="3076" width="17.28515625" style="316" bestFit="1" customWidth="1"/>
    <col min="3077" max="3077" width="14.7109375" style="316" customWidth="1"/>
    <col min="3078" max="3078" width="18.7109375" style="316" bestFit="1" customWidth="1"/>
    <col min="3079" max="3079" width="14.7109375" style="316" customWidth="1"/>
    <col min="3080" max="3080" width="16.85546875" style="316" customWidth="1"/>
    <col min="3081" max="3326" width="11.42578125" style="316"/>
    <col min="3327" max="3327" width="1.7109375" style="316" customWidth="1"/>
    <col min="3328" max="3328" width="30.7109375" style="316" customWidth="1"/>
    <col min="3329" max="3331" width="14.7109375" style="316" customWidth="1"/>
    <col min="3332" max="3332" width="17.28515625" style="316" bestFit="1" customWidth="1"/>
    <col min="3333" max="3333" width="14.7109375" style="316" customWidth="1"/>
    <col min="3334" max="3334" width="18.7109375" style="316" bestFit="1" customWidth="1"/>
    <col min="3335" max="3335" width="14.7109375" style="316" customWidth="1"/>
    <col min="3336" max="3336" width="16.85546875" style="316" customWidth="1"/>
    <col min="3337" max="3582" width="11.42578125" style="316"/>
    <col min="3583" max="3583" width="1.7109375" style="316" customWidth="1"/>
    <col min="3584" max="3584" width="30.7109375" style="316" customWidth="1"/>
    <col min="3585" max="3587" width="14.7109375" style="316" customWidth="1"/>
    <col min="3588" max="3588" width="17.28515625" style="316" bestFit="1" customWidth="1"/>
    <col min="3589" max="3589" width="14.7109375" style="316" customWidth="1"/>
    <col min="3590" max="3590" width="18.7109375" style="316" bestFit="1" customWidth="1"/>
    <col min="3591" max="3591" width="14.7109375" style="316" customWidth="1"/>
    <col min="3592" max="3592" width="16.85546875" style="316" customWidth="1"/>
    <col min="3593" max="3838" width="11.42578125" style="316"/>
    <col min="3839" max="3839" width="1.7109375" style="316" customWidth="1"/>
    <col min="3840" max="3840" width="30.7109375" style="316" customWidth="1"/>
    <col min="3841" max="3843" width="14.7109375" style="316" customWidth="1"/>
    <col min="3844" max="3844" width="17.28515625" style="316" bestFit="1" customWidth="1"/>
    <col min="3845" max="3845" width="14.7109375" style="316" customWidth="1"/>
    <col min="3846" max="3846" width="18.7109375" style="316" bestFit="1" customWidth="1"/>
    <col min="3847" max="3847" width="14.7109375" style="316" customWidth="1"/>
    <col min="3848" max="3848" width="16.85546875" style="316" customWidth="1"/>
    <col min="3849" max="4094" width="11.42578125" style="316"/>
    <col min="4095" max="4095" width="1.7109375" style="316" customWidth="1"/>
    <col min="4096" max="4096" width="30.7109375" style="316" customWidth="1"/>
    <col min="4097" max="4099" width="14.7109375" style="316" customWidth="1"/>
    <col min="4100" max="4100" width="17.28515625" style="316" bestFit="1" customWidth="1"/>
    <col min="4101" max="4101" width="14.7109375" style="316" customWidth="1"/>
    <col min="4102" max="4102" width="18.7109375" style="316" bestFit="1" customWidth="1"/>
    <col min="4103" max="4103" width="14.7109375" style="316" customWidth="1"/>
    <col min="4104" max="4104" width="16.85546875" style="316" customWidth="1"/>
    <col min="4105" max="4350" width="11.42578125" style="316"/>
    <col min="4351" max="4351" width="1.7109375" style="316" customWidth="1"/>
    <col min="4352" max="4352" width="30.7109375" style="316" customWidth="1"/>
    <col min="4353" max="4355" width="14.7109375" style="316" customWidth="1"/>
    <col min="4356" max="4356" width="17.28515625" style="316" bestFit="1" customWidth="1"/>
    <col min="4357" max="4357" width="14.7109375" style="316" customWidth="1"/>
    <col min="4358" max="4358" width="18.7109375" style="316" bestFit="1" customWidth="1"/>
    <col min="4359" max="4359" width="14.7109375" style="316" customWidth="1"/>
    <col min="4360" max="4360" width="16.85546875" style="316" customWidth="1"/>
    <col min="4361" max="4606" width="11.42578125" style="316"/>
    <col min="4607" max="4607" width="1.7109375" style="316" customWidth="1"/>
    <col min="4608" max="4608" width="30.7109375" style="316" customWidth="1"/>
    <col min="4609" max="4611" width="14.7109375" style="316" customWidth="1"/>
    <col min="4612" max="4612" width="17.28515625" style="316" bestFit="1" customWidth="1"/>
    <col min="4613" max="4613" width="14.7109375" style="316" customWidth="1"/>
    <col min="4614" max="4614" width="18.7109375" style="316" bestFit="1" customWidth="1"/>
    <col min="4615" max="4615" width="14.7109375" style="316" customWidth="1"/>
    <col min="4616" max="4616" width="16.85546875" style="316" customWidth="1"/>
    <col min="4617" max="4862" width="11.42578125" style="316"/>
    <col min="4863" max="4863" width="1.7109375" style="316" customWidth="1"/>
    <col min="4864" max="4864" width="30.7109375" style="316" customWidth="1"/>
    <col min="4865" max="4867" width="14.7109375" style="316" customWidth="1"/>
    <col min="4868" max="4868" width="17.28515625" style="316" bestFit="1" customWidth="1"/>
    <col min="4869" max="4869" width="14.7109375" style="316" customWidth="1"/>
    <col min="4870" max="4870" width="18.7109375" style="316" bestFit="1" customWidth="1"/>
    <col min="4871" max="4871" width="14.7109375" style="316" customWidth="1"/>
    <col min="4872" max="4872" width="16.85546875" style="316" customWidth="1"/>
    <col min="4873" max="5118" width="11.42578125" style="316"/>
    <col min="5119" max="5119" width="1.7109375" style="316" customWidth="1"/>
    <col min="5120" max="5120" width="30.7109375" style="316" customWidth="1"/>
    <col min="5121" max="5123" width="14.7109375" style="316" customWidth="1"/>
    <col min="5124" max="5124" width="17.28515625" style="316" bestFit="1" customWidth="1"/>
    <col min="5125" max="5125" width="14.7109375" style="316" customWidth="1"/>
    <col min="5126" max="5126" width="18.7109375" style="316" bestFit="1" customWidth="1"/>
    <col min="5127" max="5127" width="14.7109375" style="316" customWidth="1"/>
    <col min="5128" max="5128" width="16.85546875" style="316" customWidth="1"/>
    <col min="5129" max="5374" width="11.42578125" style="316"/>
    <col min="5375" max="5375" width="1.7109375" style="316" customWidth="1"/>
    <col min="5376" max="5376" width="30.7109375" style="316" customWidth="1"/>
    <col min="5377" max="5379" width="14.7109375" style="316" customWidth="1"/>
    <col min="5380" max="5380" width="17.28515625" style="316" bestFit="1" customWidth="1"/>
    <col min="5381" max="5381" width="14.7109375" style="316" customWidth="1"/>
    <col min="5382" max="5382" width="18.7109375" style="316" bestFit="1" customWidth="1"/>
    <col min="5383" max="5383" width="14.7109375" style="316" customWidth="1"/>
    <col min="5384" max="5384" width="16.85546875" style="316" customWidth="1"/>
    <col min="5385" max="5630" width="11.42578125" style="316"/>
    <col min="5631" max="5631" width="1.7109375" style="316" customWidth="1"/>
    <col min="5632" max="5632" width="30.7109375" style="316" customWidth="1"/>
    <col min="5633" max="5635" width="14.7109375" style="316" customWidth="1"/>
    <col min="5636" max="5636" width="17.28515625" style="316" bestFit="1" customWidth="1"/>
    <col min="5637" max="5637" width="14.7109375" style="316" customWidth="1"/>
    <col min="5638" max="5638" width="18.7109375" style="316" bestFit="1" customWidth="1"/>
    <col min="5639" max="5639" width="14.7109375" style="316" customWidth="1"/>
    <col min="5640" max="5640" width="16.85546875" style="316" customWidth="1"/>
    <col min="5641" max="5886" width="11.42578125" style="316"/>
    <col min="5887" max="5887" width="1.7109375" style="316" customWidth="1"/>
    <col min="5888" max="5888" width="30.7109375" style="316" customWidth="1"/>
    <col min="5889" max="5891" width="14.7109375" style="316" customWidth="1"/>
    <col min="5892" max="5892" width="17.28515625" style="316" bestFit="1" customWidth="1"/>
    <col min="5893" max="5893" width="14.7109375" style="316" customWidth="1"/>
    <col min="5894" max="5894" width="18.7109375" style="316" bestFit="1" customWidth="1"/>
    <col min="5895" max="5895" width="14.7109375" style="316" customWidth="1"/>
    <col min="5896" max="5896" width="16.85546875" style="316" customWidth="1"/>
    <col min="5897" max="6142" width="11.42578125" style="316"/>
    <col min="6143" max="6143" width="1.7109375" style="316" customWidth="1"/>
    <col min="6144" max="6144" width="30.7109375" style="316" customWidth="1"/>
    <col min="6145" max="6147" width="14.7109375" style="316" customWidth="1"/>
    <col min="6148" max="6148" width="17.28515625" style="316" bestFit="1" customWidth="1"/>
    <col min="6149" max="6149" width="14.7109375" style="316" customWidth="1"/>
    <col min="6150" max="6150" width="18.7109375" style="316" bestFit="1" customWidth="1"/>
    <col min="6151" max="6151" width="14.7109375" style="316" customWidth="1"/>
    <col min="6152" max="6152" width="16.85546875" style="316" customWidth="1"/>
    <col min="6153" max="6398" width="11.42578125" style="316"/>
    <col min="6399" max="6399" width="1.7109375" style="316" customWidth="1"/>
    <col min="6400" max="6400" width="30.7109375" style="316" customWidth="1"/>
    <col min="6401" max="6403" width="14.7109375" style="316" customWidth="1"/>
    <col min="6404" max="6404" width="17.28515625" style="316" bestFit="1" customWidth="1"/>
    <col min="6405" max="6405" width="14.7109375" style="316" customWidth="1"/>
    <col min="6406" max="6406" width="18.7109375" style="316" bestFit="1" customWidth="1"/>
    <col min="6407" max="6407" width="14.7109375" style="316" customWidth="1"/>
    <col min="6408" max="6408" width="16.85546875" style="316" customWidth="1"/>
    <col min="6409" max="6654" width="11.42578125" style="316"/>
    <col min="6655" max="6655" width="1.7109375" style="316" customWidth="1"/>
    <col min="6656" max="6656" width="30.7109375" style="316" customWidth="1"/>
    <col min="6657" max="6659" width="14.7109375" style="316" customWidth="1"/>
    <col min="6660" max="6660" width="17.28515625" style="316" bestFit="1" customWidth="1"/>
    <col min="6661" max="6661" width="14.7109375" style="316" customWidth="1"/>
    <col min="6662" max="6662" width="18.7109375" style="316" bestFit="1" customWidth="1"/>
    <col min="6663" max="6663" width="14.7109375" style="316" customWidth="1"/>
    <col min="6664" max="6664" width="16.85546875" style="316" customWidth="1"/>
    <col min="6665" max="6910" width="11.42578125" style="316"/>
    <col min="6911" max="6911" width="1.7109375" style="316" customWidth="1"/>
    <col min="6912" max="6912" width="30.7109375" style="316" customWidth="1"/>
    <col min="6913" max="6915" width="14.7109375" style="316" customWidth="1"/>
    <col min="6916" max="6916" width="17.28515625" style="316" bestFit="1" customWidth="1"/>
    <col min="6917" max="6917" width="14.7109375" style="316" customWidth="1"/>
    <col min="6918" max="6918" width="18.7109375" style="316" bestFit="1" customWidth="1"/>
    <col min="6919" max="6919" width="14.7109375" style="316" customWidth="1"/>
    <col min="6920" max="6920" width="16.85546875" style="316" customWidth="1"/>
    <col min="6921" max="7166" width="11.42578125" style="316"/>
    <col min="7167" max="7167" width="1.7109375" style="316" customWidth="1"/>
    <col min="7168" max="7168" width="30.7109375" style="316" customWidth="1"/>
    <col min="7169" max="7171" width="14.7109375" style="316" customWidth="1"/>
    <col min="7172" max="7172" width="17.28515625" style="316" bestFit="1" customWidth="1"/>
    <col min="7173" max="7173" width="14.7109375" style="316" customWidth="1"/>
    <col min="7174" max="7174" width="18.7109375" style="316" bestFit="1" customWidth="1"/>
    <col min="7175" max="7175" width="14.7109375" style="316" customWidth="1"/>
    <col min="7176" max="7176" width="16.85546875" style="316" customWidth="1"/>
    <col min="7177" max="7422" width="11.42578125" style="316"/>
    <col min="7423" max="7423" width="1.7109375" style="316" customWidth="1"/>
    <col min="7424" max="7424" width="30.7109375" style="316" customWidth="1"/>
    <col min="7425" max="7427" width="14.7109375" style="316" customWidth="1"/>
    <col min="7428" max="7428" width="17.28515625" style="316" bestFit="1" customWidth="1"/>
    <col min="7429" max="7429" width="14.7109375" style="316" customWidth="1"/>
    <col min="7430" max="7430" width="18.7109375" style="316" bestFit="1" customWidth="1"/>
    <col min="7431" max="7431" width="14.7109375" style="316" customWidth="1"/>
    <col min="7432" max="7432" width="16.85546875" style="316" customWidth="1"/>
    <col min="7433" max="7678" width="11.42578125" style="316"/>
    <col min="7679" max="7679" width="1.7109375" style="316" customWidth="1"/>
    <col min="7680" max="7680" width="30.7109375" style="316" customWidth="1"/>
    <col min="7681" max="7683" width="14.7109375" style="316" customWidth="1"/>
    <col min="7684" max="7684" width="17.28515625" style="316" bestFit="1" customWidth="1"/>
    <col min="7685" max="7685" width="14.7109375" style="316" customWidth="1"/>
    <col min="7686" max="7686" width="18.7109375" style="316" bestFit="1" customWidth="1"/>
    <col min="7687" max="7687" width="14.7109375" style="316" customWidth="1"/>
    <col min="7688" max="7688" width="16.85546875" style="316" customWidth="1"/>
    <col min="7689" max="7934" width="11.42578125" style="316"/>
    <col min="7935" max="7935" width="1.7109375" style="316" customWidth="1"/>
    <col min="7936" max="7936" width="30.7109375" style="316" customWidth="1"/>
    <col min="7937" max="7939" width="14.7109375" style="316" customWidth="1"/>
    <col min="7940" max="7940" width="17.28515625" style="316" bestFit="1" customWidth="1"/>
    <col min="7941" max="7941" width="14.7109375" style="316" customWidth="1"/>
    <col min="7942" max="7942" width="18.7109375" style="316" bestFit="1" customWidth="1"/>
    <col min="7943" max="7943" width="14.7109375" style="316" customWidth="1"/>
    <col min="7944" max="7944" width="16.85546875" style="316" customWidth="1"/>
    <col min="7945" max="8190" width="11.42578125" style="316"/>
    <col min="8191" max="8191" width="1.7109375" style="316" customWidth="1"/>
    <col min="8192" max="8192" width="30.7109375" style="316" customWidth="1"/>
    <col min="8193" max="8195" width="14.7109375" style="316" customWidth="1"/>
    <col min="8196" max="8196" width="17.28515625" style="316" bestFit="1" customWidth="1"/>
    <col min="8197" max="8197" width="14.7109375" style="316" customWidth="1"/>
    <col min="8198" max="8198" width="18.7109375" style="316" bestFit="1" customWidth="1"/>
    <col min="8199" max="8199" width="14.7109375" style="316" customWidth="1"/>
    <col min="8200" max="8200" width="16.85546875" style="316" customWidth="1"/>
    <col min="8201" max="8446" width="11.42578125" style="316"/>
    <col min="8447" max="8447" width="1.7109375" style="316" customWidth="1"/>
    <col min="8448" max="8448" width="30.7109375" style="316" customWidth="1"/>
    <col min="8449" max="8451" width="14.7109375" style="316" customWidth="1"/>
    <col min="8452" max="8452" width="17.28515625" style="316" bestFit="1" customWidth="1"/>
    <col min="8453" max="8453" width="14.7109375" style="316" customWidth="1"/>
    <col min="8454" max="8454" width="18.7109375" style="316" bestFit="1" customWidth="1"/>
    <col min="8455" max="8455" width="14.7109375" style="316" customWidth="1"/>
    <col min="8456" max="8456" width="16.85546875" style="316" customWidth="1"/>
    <col min="8457" max="8702" width="11.42578125" style="316"/>
    <col min="8703" max="8703" width="1.7109375" style="316" customWidth="1"/>
    <col min="8704" max="8704" width="30.7109375" style="316" customWidth="1"/>
    <col min="8705" max="8707" width="14.7109375" style="316" customWidth="1"/>
    <col min="8708" max="8708" width="17.28515625" style="316" bestFit="1" customWidth="1"/>
    <col min="8709" max="8709" width="14.7109375" style="316" customWidth="1"/>
    <col min="8710" max="8710" width="18.7109375" style="316" bestFit="1" customWidth="1"/>
    <col min="8711" max="8711" width="14.7109375" style="316" customWidth="1"/>
    <col min="8712" max="8712" width="16.85546875" style="316" customWidth="1"/>
    <col min="8713" max="8958" width="11.42578125" style="316"/>
    <col min="8959" max="8959" width="1.7109375" style="316" customWidth="1"/>
    <col min="8960" max="8960" width="30.7109375" style="316" customWidth="1"/>
    <col min="8961" max="8963" width="14.7109375" style="316" customWidth="1"/>
    <col min="8964" max="8964" width="17.28515625" style="316" bestFit="1" customWidth="1"/>
    <col min="8965" max="8965" width="14.7109375" style="316" customWidth="1"/>
    <col min="8966" max="8966" width="18.7109375" style="316" bestFit="1" customWidth="1"/>
    <col min="8967" max="8967" width="14.7109375" style="316" customWidth="1"/>
    <col min="8968" max="8968" width="16.85546875" style="316" customWidth="1"/>
    <col min="8969" max="9214" width="11.42578125" style="316"/>
    <col min="9215" max="9215" width="1.7109375" style="316" customWidth="1"/>
    <col min="9216" max="9216" width="30.7109375" style="316" customWidth="1"/>
    <col min="9217" max="9219" width="14.7109375" style="316" customWidth="1"/>
    <col min="9220" max="9220" width="17.28515625" style="316" bestFit="1" customWidth="1"/>
    <col min="9221" max="9221" width="14.7109375" style="316" customWidth="1"/>
    <col min="9222" max="9222" width="18.7109375" style="316" bestFit="1" customWidth="1"/>
    <col min="9223" max="9223" width="14.7109375" style="316" customWidth="1"/>
    <col min="9224" max="9224" width="16.85546875" style="316" customWidth="1"/>
    <col min="9225" max="9470" width="11.42578125" style="316"/>
    <col min="9471" max="9471" width="1.7109375" style="316" customWidth="1"/>
    <col min="9472" max="9472" width="30.7109375" style="316" customWidth="1"/>
    <col min="9473" max="9475" width="14.7109375" style="316" customWidth="1"/>
    <col min="9476" max="9476" width="17.28515625" style="316" bestFit="1" customWidth="1"/>
    <col min="9477" max="9477" width="14.7109375" style="316" customWidth="1"/>
    <col min="9478" max="9478" width="18.7109375" style="316" bestFit="1" customWidth="1"/>
    <col min="9479" max="9479" width="14.7109375" style="316" customWidth="1"/>
    <col min="9480" max="9480" width="16.85546875" style="316" customWidth="1"/>
    <col min="9481" max="9726" width="11.42578125" style="316"/>
    <col min="9727" max="9727" width="1.7109375" style="316" customWidth="1"/>
    <col min="9728" max="9728" width="30.7109375" style="316" customWidth="1"/>
    <col min="9729" max="9731" width="14.7109375" style="316" customWidth="1"/>
    <col min="9732" max="9732" width="17.28515625" style="316" bestFit="1" customWidth="1"/>
    <col min="9733" max="9733" width="14.7109375" style="316" customWidth="1"/>
    <col min="9734" max="9734" width="18.7109375" style="316" bestFit="1" customWidth="1"/>
    <col min="9735" max="9735" width="14.7109375" style="316" customWidth="1"/>
    <col min="9736" max="9736" width="16.85546875" style="316" customWidth="1"/>
    <col min="9737" max="9982" width="11.42578125" style="316"/>
    <col min="9983" max="9983" width="1.7109375" style="316" customWidth="1"/>
    <col min="9984" max="9984" width="30.7109375" style="316" customWidth="1"/>
    <col min="9985" max="9987" width="14.7109375" style="316" customWidth="1"/>
    <col min="9988" max="9988" width="17.28515625" style="316" bestFit="1" customWidth="1"/>
    <col min="9989" max="9989" width="14.7109375" style="316" customWidth="1"/>
    <col min="9990" max="9990" width="18.7109375" style="316" bestFit="1" customWidth="1"/>
    <col min="9991" max="9991" width="14.7109375" style="316" customWidth="1"/>
    <col min="9992" max="9992" width="16.85546875" style="316" customWidth="1"/>
    <col min="9993" max="10238" width="11.42578125" style="316"/>
    <col min="10239" max="10239" width="1.7109375" style="316" customWidth="1"/>
    <col min="10240" max="10240" width="30.7109375" style="316" customWidth="1"/>
    <col min="10241" max="10243" width="14.7109375" style="316" customWidth="1"/>
    <col min="10244" max="10244" width="17.28515625" style="316" bestFit="1" customWidth="1"/>
    <col min="10245" max="10245" width="14.7109375" style="316" customWidth="1"/>
    <col min="10246" max="10246" width="18.7109375" style="316" bestFit="1" customWidth="1"/>
    <col min="10247" max="10247" width="14.7109375" style="316" customWidth="1"/>
    <col min="10248" max="10248" width="16.85546875" style="316" customWidth="1"/>
    <col min="10249" max="10494" width="11.42578125" style="316"/>
    <col min="10495" max="10495" width="1.7109375" style="316" customWidth="1"/>
    <col min="10496" max="10496" width="30.7109375" style="316" customWidth="1"/>
    <col min="10497" max="10499" width="14.7109375" style="316" customWidth="1"/>
    <col min="10500" max="10500" width="17.28515625" style="316" bestFit="1" customWidth="1"/>
    <col min="10501" max="10501" width="14.7109375" style="316" customWidth="1"/>
    <col min="10502" max="10502" width="18.7109375" style="316" bestFit="1" customWidth="1"/>
    <col min="10503" max="10503" width="14.7109375" style="316" customWidth="1"/>
    <col min="10504" max="10504" width="16.85546875" style="316" customWidth="1"/>
    <col min="10505" max="10750" width="11.42578125" style="316"/>
    <col min="10751" max="10751" width="1.7109375" style="316" customWidth="1"/>
    <col min="10752" max="10752" width="30.7109375" style="316" customWidth="1"/>
    <col min="10753" max="10755" width="14.7109375" style="316" customWidth="1"/>
    <col min="10756" max="10756" width="17.28515625" style="316" bestFit="1" customWidth="1"/>
    <col min="10757" max="10757" width="14.7109375" style="316" customWidth="1"/>
    <col min="10758" max="10758" width="18.7109375" style="316" bestFit="1" customWidth="1"/>
    <col min="10759" max="10759" width="14.7109375" style="316" customWidth="1"/>
    <col min="10760" max="10760" width="16.85546875" style="316" customWidth="1"/>
    <col min="10761" max="11006" width="11.42578125" style="316"/>
    <col min="11007" max="11007" width="1.7109375" style="316" customWidth="1"/>
    <col min="11008" max="11008" width="30.7109375" style="316" customWidth="1"/>
    <col min="11009" max="11011" width="14.7109375" style="316" customWidth="1"/>
    <col min="11012" max="11012" width="17.28515625" style="316" bestFit="1" customWidth="1"/>
    <col min="11013" max="11013" width="14.7109375" style="316" customWidth="1"/>
    <col min="11014" max="11014" width="18.7109375" style="316" bestFit="1" customWidth="1"/>
    <col min="11015" max="11015" width="14.7109375" style="316" customWidth="1"/>
    <col min="11016" max="11016" width="16.85546875" style="316" customWidth="1"/>
    <col min="11017" max="11262" width="11.42578125" style="316"/>
    <col min="11263" max="11263" width="1.7109375" style="316" customWidth="1"/>
    <col min="11264" max="11264" width="30.7109375" style="316" customWidth="1"/>
    <col min="11265" max="11267" width="14.7109375" style="316" customWidth="1"/>
    <col min="11268" max="11268" width="17.28515625" style="316" bestFit="1" customWidth="1"/>
    <col min="11269" max="11269" width="14.7109375" style="316" customWidth="1"/>
    <col min="11270" max="11270" width="18.7109375" style="316" bestFit="1" customWidth="1"/>
    <col min="11271" max="11271" width="14.7109375" style="316" customWidth="1"/>
    <col min="11272" max="11272" width="16.85546875" style="316" customWidth="1"/>
    <col min="11273" max="11518" width="11.42578125" style="316"/>
    <col min="11519" max="11519" width="1.7109375" style="316" customWidth="1"/>
    <col min="11520" max="11520" width="30.7109375" style="316" customWidth="1"/>
    <col min="11521" max="11523" width="14.7109375" style="316" customWidth="1"/>
    <col min="11524" max="11524" width="17.28515625" style="316" bestFit="1" customWidth="1"/>
    <col min="11525" max="11525" width="14.7109375" style="316" customWidth="1"/>
    <col min="11526" max="11526" width="18.7109375" style="316" bestFit="1" customWidth="1"/>
    <col min="11527" max="11527" width="14.7109375" style="316" customWidth="1"/>
    <col min="11528" max="11528" width="16.85546875" style="316" customWidth="1"/>
    <col min="11529" max="11774" width="11.42578125" style="316"/>
    <col min="11775" max="11775" width="1.7109375" style="316" customWidth="1"/>
    <col min="11776" max="11776" width="30.7109375" style="316" customWidth="1"/>
    <col min="11777" max="11779" width="14.7109375" style="316" customWidth="1"/>
    <col min="11780" max="11780" width="17.28515625" style="316" bestFit="1" customWidth="1"/>
    <col min="11781" max="11781" width="14.7109375" style="316" customWidth="1"/>
    <col min="11782" max="11782" width="18.7109375" style="316" bestFit="1" customWidth="1"/>
    <col min="11783" max="11783" width="14.7109375" style="316" customWidth="1"/>
    <col min="11784" max="11784" width="16.85546875" style="316" customWidth="1"/>
    <col min="11785" max="12030" width="11.42578125" style="316"/>
    <col min="12031" max="12031" width="1.7109375" style="316" customWidth="1"/>
    <col min="12032" max="12032" width="30.7109375" style="316" customWidth="1"/>
    <col min="12033" max="12035" width="14.7109375" style="316" customWidth="1"/>
    <col min="12036" max="12036" width="17.28515625" style="316" bestFit="1" customWidth="1"/>
    <col min="12037" max="12037" width="14.7109375" style="316" customWidth="1"/>
    <col min="12038" max="12038" width="18.7109375" style="316" bestFit="1" customWidth="1"/>
    <col min="12039" max="12039" width="14.7109375" style="316" customWidth="1"/>
    <col min="12040" max="12040" width="16.85546875" style="316" customWidth="1"/>
    <col min="12041" max="12286" width="11.42578125" style="316"/>
    <col min="12287" max="12287" width="1.7109375" style="316" customWidth="1"/>
    <col min="12288" max="12288" width="30.7109375" style="316" customWidth="1"/>
    <col min="12289" max="12291" width="14.7109375" style="316" customWidth="1"/>
    <col min="12292" max="12292" width="17.28515625" style="316" bestFit="1" customWidth="1"/>
    <col min="12293" max="12293" width="14.7109375" style="316" customWidth="1"/>
    <col min="12294" max="12294" width="18.7109375" style="316" bestFit="1" customWidth="1"/>
    <col min="12295" max="12295" width="14.7109375" style="316" customWidth="1"/>
    <col min="12296" max="12296" width="16.85546875" style="316" customWidth="1"/>
    <col min="12297" max="12542" width="11.42578125" style="316"/>
    <col min="12543" max="12543" width="1.7109375" style="316" customWidth="1"/>
    <col min="12544" max="12544" width="30.7109375" style="316" customWidth="1"/>
    <col min="12545" max="12547" width="14.7109375" style="316" customWidth="1"/>
    <col min="12548" max="12548" width="17.28515625" style="316" bestFit="1" customWidth="1"/>
    <col min="12549" max="12549" width="14.7109375" style="316" customWidth="1"/>
    <col min="12550" max="12550" width="18.7109375" style="316" bestFit="1" customWidth="1"/>
    <col min="12551" max="12551" width="14.7109375" style="316" customWidth="1"/>
    <col min="12552" max="12552" width="16.85546875" style="316" customWidth="1"/>
    <col min="12553" max="12798" width="11.42578125" style="316"/>
    <col min="12799" max="12799" width="1.7109375" style="316" customWidth="1"/>
    <col min="12800" max="12800" width="30.7109375" style="316" customWidth="1"/>
    <col min="12801" max="12803" width="14.7109375" style="316" customWidth="1"/>
    <col min="12804" max="12804" width="17.28515625" style="316" bestFit="1" customWidth="1"/>
    <col min="12805" max="12805" width="14.7109375" style="316" customWidth="1"/>
    <col min="12806" max="12806" width="18.7109375" style="316" bestFit="1" customWidth="1"/>
    <col min="12807" max="12807" width="14.7109375" style="316" customWidth="1"/>
    <col min="12808" max="12808" width="16.85546875" style="316" customWidth="1"/>
    <col min="12809" max="13054" width="11.42578125" style="316"/>
    <col min="13055" max="13055" width="1.7109375" style="316" customWidth="1"/>
    <col min="13056" max="13056" width="30.7109375" style="316" customWidth="1"/>
    <col min="13057" max="13059" width="14.7109375" style="316" customWidth="1"/>
    <col min="13060" max="13060" width="17.28515625" style="316" bestFit="1" customWidth="1"/>
    <col min="13061" max="13061" width="14.7109375" style="316" customWidth="1"/>
    <col min="13062" max="13062" width="18.7109375" style="316" bestFit="1" customWidth="1"/>
    <col min="13063" max="13063" width="14.7109375" style="316" customWidth="1"/>
    <col min="13064" max="13064" width="16.85546875" style="316" customWidth="1"/>
    <col min="13065" max="13310" width="11.42578125" style="316"/>
    <col min="13311" max="13311" width="1.7109375" style="316" customWidth="1"/>
    <col min="13312" max="13312" width="30.7109375" style="316" customWidth="1"/>
    <col min="13313" max="13315" width="14.7109375" style="316" customWidth="1"/>
    <col min="13316" max="13316" width="17.28515625" style="316" bestFit="1" customWidth="1"/>
    <col min="13317" max="13317" width="14.7109375" style="316" customWidth="1"/>
    <col min="13318" max="13318" width="18.7109375" style="316" bestFit="1" customWidth="1"/>
    <col min="13319" max="13319" width="14.7109375" style="316" customWidth="1"/>
    <col min="13320" max="13320" width="16.85546875" style="316" customWidth="1"/>
    <col min="13321" max="13566" width="11.42578125" style="316"/>
    <col min="13567" max="13567" width="1.7109375" style="316" customWidth="1"/>
    <col min="13568" max="13568" width="30.7109375" style="316" customWidth="1"/>
    <col min="13569" max="13571" width="14.7109375" style="316" customWidth="1"/>
    <col min="13572" max="13572" width="17.28515625" style="316" bestFit="1" customWidth="1"/>
    <col min="13573" max="13573" width="14.7109375" style="316" customWidth="1"/>
    <col min="13574" max="13574" width="18.7109375" style="316" bestFit="1" customWidth="1"/>
    <col min="13575" max="13575" width="14.7109375" style="316" customWidth="1"/>
    <col min="13576" max="13576" width="16.85546875" style="316" customWidth="1"/>
    <col min="13577" max="13822" width="11.42578125" style="316"/>
    <col min="13823" max="13823" width="1.7109375" style="316" customWidth="1"/>
    <col min="13824" max="13824" width="30.7109375" style="316" customWidth="1"/>
    <col min="13825" max="13827" width="14.7109375" style="316" customWidth="1"/>
    <col min="13828" max="13828" width="17.28515625" style="316" bestFit="1" customWidth="1"/>
    <col min="13829" max="13829" width="14.7109375" style="316" customWidth="1"/>
    <col min="13830" max="13830" width="18.7109375" style="316" bestFit="1" customWidth="1"/>
    <col min="13831" max="13831" width="14.7109375" style="316" customWidth="1"/>
    <col min="13832" max="13832" width="16.85546875" style="316" customWidth="1"/>
    <col min="13833" max="14078" width="11.42578125" style="316"/>
    <col min="14079" max="14079" width="1.7109375" style="316" customWidth="1"/>
    <col min="14080" max="14080" width="30.7109375" style="316" customWidth="1"/>
    <col min="14081" max="14083" width="14.7109375" style="316" customWidth="1"/>
    <col min="14084" max="14084" width="17.28515625" style="316" bestFit="1" customWidth="1"/>
    <col min="14085" max="14085" width="14.7109375" style="316" customWidth="1"/>
    <col min="14086" max="14086" width="18.7109375" style="316" bestFit="1" customWidth="1"/>
    <col min="14087" max="14087" width="14.7109375" style="316" customWidth="1"/>
    <col min="14088" max="14088" width="16.85546875" style="316" customWidth="1"/>
    <col min="14089" max="14334" width="11.42578125" style="316"/>
    <col min="14335" max="14335" width="1.7109375" style="316" customWidth="1"/>
    <col min="14336" max="14336" width="30.7109375" style="316" customWidth="1"/>
    <col min="14337" max="14339" width="14.7109375" style="316" customWidth="1"/>
    <col min="14340" max="14340" width="17.28515625" style="316" bestFit="1" customWidth="1"/>
    <col min="14341" max="14341" width="14.7109375" style="316" customWidth="1"/>
    <col min="14342" max="14342" width="18.7109375" style="316" bestFit="1" customWidth="1"/>
    <col min="14343" max="14343" width="14.7109375" style="316" customWidth="1"/>
    <col min="14344" max="14344" width="16.85546875" style="316" customWidth="1"/>
    <col min="14345" max="14590" width="11.42578125" style="316"/>
    <col min="14591" max="14591" width="1.7109375" style="316" customWidth="1"/>
    <col min="14592" max="14592" width="30.7109375" style="316" customWidth="1"/>
    <col min="14593" max="14595" width="14.7109375" style="316" customWidth="1"/>
    <col min="14596" max="14596" width="17.28515625" style="316" bestFit="1" customWidth="1"/>
    <col min="14597" max="14597" width="14.7109375" style="316" customWidth="1"/>
    <col min="14598" max="14598" width="18.7109375" style="316" bestFit="1" customWidth="1"/>
    <col min="14599" max="14599" width="14.7109375" style="316" customWidth="1"/>
    <col min="14600" max="14600" width="16.85546875" style="316" customWidth="1"/>
    <col min="14601" max="14846" width="11.42578125" style="316"/>
    <col min="14847" max="14847" width="1.7109375" style="316" customWidth="1"/>
    <col min="14848" max="14848" width="30.7109375" style="316" customWidth="1"/>
    <col min="14849" max="14851" width="14.7109375" style="316" customWidth="1"/>
    <col min="14852" max="14852" width="17.28515625" style="316" bestFit="1" customWidth="1"/>
    <col min="14853" max="14853" width="14.7109375" style="316" customWidth="1"/>
    <col min="14854" max="14854" width="18.7109375" style="316" bestFit="1" customWidth="1"/>
    <col min="14855" max="14855" width="14.7109375" style="316" customWidth="1"/>
    <col min="14856" max="14856" width="16.85546875" style="316" customWidth="1"/>
    <col min="14857" max="15102" width="11.42578125" style="316"/>
    <col min="15103" max="15103" width="1.7109375" style="316" customWidth="1"/>
    <col min="15104" max="15104" width="30.7109375" style="316" customWidth="1"/>
    <col min="15105" max="15107" width="14.7109375" style="316" customWidth="1"/>
    <col min="15108" max="15108" width="17.28515625" style="316" bestFit="1" customWidth="1"/>
    <col min="15109" max="15109" width="14.7109375" style="316" customWidth="1"/>
    <col min="15110" max="15110" width="18.7109375" style="316" bestFit="1" customWidth="1"/>
    <col min="15111" max="15111" width="14.7109375" style="316" customWidth="1"/>
    <col min="15112" max="15112" width="16.85546875" style="316" customWidth="1"/>
    <col min="15113" max="15358" width="11.42578125" style="316"/>
    <col min="15359" max="15359" width="1.7109375" style="316" customWidth="1"/>
    <col min="15360" max="15360" width="30.7109375" style="316" customWidth="1"/>
    <col min="15361" max="15363" width="14.7109375" style="316" customWidth="1"/>
    <col min="15364" max="15364" width="17.28515625" style="316" bestFit="1" customWidth="1"/>
    <col min="15365" max="15365" width="14.7109375" style="316" customWidth="1"/>
    <col min="15366" max="15366" width="18.7109375" style="316" bestFit="1" customWidth="1"/>
    <col min="15367" max="15367" width="14.7109375" style="316" customWidth="1"/>
    <col min="15368" max="15368" width="16.85546875" style="316" customWidth="1"/>
    <col min="15369" max="15614" width="11.42578125" style="316"/>
    <col min="15615" max="15615" width="1.7109375" style="316" customWidth="1"/>
    <col min="15616" max="15616" width="30.7109375" style="316" customWidth="1"/>
    <col min="15617" max="15619" width="14.7109375" style="316" customWidth="1"/>
    <col min="15620" max="15620" width="17.28515625" style="316" bestFit="1" customWidth="1"/>
    <col min="15621" max="15621" width="14.7109375" style="316" customWidth="1"/>
    <col min="15622" max="15622" width="18.7109375" style="316" bestFit="1" customWidth="1"/>
    <col min="15623" max="15623" width="14.7109375" style="316" customWidth="1"/>
    <col min="15624" max="15624" width="16.85546875" style="316" customWidth="1"/>
    <col min="15625" max="15870" width="11.42578125" style="316"/>
    <col min="15871" max="15871" width="1.7109375" style="316" customWidth="1"/>
    <col min="15872" max="15872" width="30.7109375" style="316" customWidth="1"/>
    <col min="15873" max="15875" width="14.7109375" style="316" customWidth="1"/>
    <col min="15876" max="15876" width="17.28515625" style="316" bestFit="1" customWidth="1"/>
    <col min="15877" max="15877" width="14.7109375" style="316" customWidth="1"/>
    <col min="15878" max="15878" width="18.7109375" style="316" bestFit="1" customWidth="1"/>
    <col min="15879" max="15879" width="14.7109375" style="316" customWidth="1"/>
    <col min="15880" max="15880" width="16.85546875" style="316" customWidth="1"/>
    <col min="15881" max="16126" width="11.42578125" style="316"/>
    <col min="16127" max="16127" width="1.7109375" style="316" customWidth="1"/>
    <col min="16128" max="16128" width="30.7109375" style="316" customWidth="1"/>
    <col min="16129" max="16131" width="14.7109375" style="316" customWidth="1"/>
    <col min="16132" max="16132" width="17.28515625" style="316" bestFit="1" customWidth="1"/>
    <col min="16133" max="16133" width="14.7109375" style="316" customWidth="1"/>
    <col min="16134" max="16134" width="18.7109375" style="316" bestFit="1" customWidth="1"/>
    <col min="16135" max="16135" width="14.7109375" style="316" customWidth="1"/>
    <col min="16136" max="16136" width="16.85546875" style="316" customWidth="1"/>
    <col min="16137" max="16384" width="11.42578125" style="316"/>
  </cols>
  <sheetData>
    <row r="1" spans="2:10" ht="18" x14ac:dyDescent="0.25">
      <c r="B1" s="624" t="s">
        <v>256</v>
      </c>
      <c r="C1" s="624"/>
      <c r="D1" s="624"/>
      <c r="E1" s="624"/>
      <c r="F1" s="624"/>
      <c r="G1" s="624"/>
      <c r="H1" s="624"/>
      <c r="I1" s="624"/>
      <c r="J1" s="624"/>
    </row>
    <row r="2" spans="2:10" ht="18" x14ac:dyDescent="0.25">
      <c r="B2" s="317"/>
      <c r="C2" s="318"/>
      <c r="D2" s="318"/>
      <c r="E2" s="318"/>
      <c r="F2" s="318"/>
      <c r="G2" s="318"/>
      <c r="H2" s="317"/>
      <c r="I2" s="317"/>
      <c r="J2" s="317"/>
    </row>
    <row r="3" spans="2:10" x14ac:dyDescent="0.25">
      <c r="C3" s="319">
        <f>ROUND(C28,0)</f>
        <v>0</v>
      </c>
      <c r="D3" s="319"/>
      <c r="E3" s="319"/>
      <c r="F3" s="319">
        <f t="shared" ref="F3" si="0">ROUND(F28,0)</f>
        <v>0</v>
      </c>
      <c r="G3" s="319"/>
      <c r="H3" s="319"/>
      <c r="I3" s="319"/>
      <c r="J3" s="319"/>
    </row>
    <row r="4" spans="2:10" ht="29.25" x14ac:dyDescent="0.25">
      <c r="B4" s="320" t="s">
        <v>257</v>
      </c>
      <c r="C4" s="321" t="s">
        <v>258</v>
      </c>
      <c r="D4" s="322" t="s">
        <v>259</v>
      </c>
      <c r="E4" s="323" t="s">
        <v>260</v>
      </c>
      <c r="F4" s="323" t="s">
        <v>261</v>
      </c>
      <c r="G4" s="323" t="s">
        <v>262</v>
      </c>
      <c r="H4" s="323" t="s">
        <v>263</v>
      </c>
      <c r="I4" s="323" t="s">
        <v>264</v>
      </c>
      <c r="J4" s="323" t="s">
        <v>265</v>
      </c>
    </row>
    <row r="5" spans="2:10" x14ac:dyDescent="0.25">
      <c r="B5" s="324" t="s">
        <v>266</v>
      </c>
      <c r="C5" s="325">
        <v>0</v>
      </c>
      <c r="D5" s="325">
        <v>0</v>
      </c>
      <c r="E5" s="325">
        <v>0</v>
      </c>
      <c r="F5" s="325">
        <v>0</v>
      </c>
      <c r="G5" s="325">
        <v>0</v>
      </c>
      <c r="H5" s="325">
        <v>0</v>
      </c>
      <c r="I5" s="325">
        <v>0</v>
      </c>
      <c r="J5" s="325">
        <v>0</v>
      </c>
    </row>
    <row r="6" spans="2:10" x14ac:dyDescent="0.25">
      <c r="B6" s="326" t="s">
        <v>267</v>
      </c>
      <c r="C6" s="327">
        <v>926200</v>
      </c>
      <c r="D6" s="327">
        <v>15679699</v>
      </c>
      <c r="E6" s="327">
        <v>25360748</v>
      </c>
      <c r="F6" s="327">
        <v>99896</v>
      </c>
      <c r="G6" s="327">
        <v>1431550</v>
      </c>
      <c r="H6" s="327">
        <f>C6+D6+E6+F6+G6</f>
        <v>43498093</v>
      </c>
      <c r="I6" s="327">
        <v>1189272</v>
      </c>
      <c r="J6" s="327">
        <f>H6+I6</f>
        <v>44687365</v>
      </c>
    </row>
    <row r="7" spans="2:10" x14ac:dyDescent="0.25">
      <c r="B7" s="326" t="s">
        <v>268</v>
      </c>
      <c r="C7" s="327">
        <v>1301131</v>
      </c>
      <c r="D7" s="327">
        <v>23692238</v>
      </c>
      <c r="E7" s="327">
        <v>27696740</v>
      </c>
      <c r="F7" s="327">
        <v>175296</v>
      </c>
      <c r="G7" s="327">
        <v>2724561</v>
      </c>
      <c r="H7" s="327">
        <f t="shared" ref="H7:H8" si="1">C7+D7+E7+F7+G7</f>
        <v>55589966</v>
      </c>
      <c r="I7" s="327">
        <v>6098756</v>
      </c>
      <c r="J7" s="327">
        <f>H7+I7</f>
        <v>61688722</v>
      </c>
    </row>
    <row r="8" spans="2:10" x14ac:dyDescent="0.25">
      <c r="B8" s="324" t="s">
        <v>269</v>
      </c>
      <c r="C8" s="325">
        <f>1213968.2+8520.08</f>
        <v>1222488.28</v>
      </c>
      <c r="D8" s="325">
        <f>22786961.9+641026.73</f>
        <v>23427988.629999999</v>
      </c>
      <c r="E8" s="325">
        <f>27272356.8+35237.25</f>
        <v>27307594.050000001</v>
      </c>
      <c r="F8" s="325">
        <f>169569.37+9.8</f>
        <v>169579.16999999998</v>
      </c>
      <c r="G8" s="325">
        <f>2562851.32+36814.9</f>
        <v>2599666.2199999997</v>
      </c>
      <c r="H8" s="327">
        <f t="shared" si="1"/>
        <v>54727316.350000001</v>
      </c>
      <c r="I8" s="325">
        <v>5380936</v>
      </c>
      <c r="J8" s="328">
        <f>H8+I8</f>
        <v>60108252.350000001</v>
      </c>
    </row>
    <row r="9" spans="2:10" ht="15.75" thickBot="1" x14ac:dyDescent="0.3">
      <c r="B9" s="329" t="s">
        <v>270</v>
      </c>
      <c r="C9" s="330">
        <f>C8/C7*100</f>
        <v>93.955818437958982</v>
      </c>
      <c r="D9" s="330">
        <f t="shared" ref="D9:J9" si="2">D8/D7*100</f>
        <v>98.884658469157699</v>
      </c>
      <c r="E9" s="330">
        <f t="shared" si="2"/>
        <v>98.594975618069142</v>
      </c>
      <c r="F9" s="330">
        <f t="shared" si="2"/>
        <v>96.738756161007657</v>
      </c>
      <c r="G9" s="330">
        <f t="shared" si="2"/>
        <v>95.415966829151543</v>
      </c>
      <c r="H9" s="330">
        <f t="shared" si="2"/>
        <v>98.448191801376524</v>
      </c>
      <c r="I9" s="330">
        <f t="shared" si="2"/>
        <v>88.230058720171783</v>
      </c>
      <c r="J9" s="330">
        <f t="shared" si="2"/>
        <v>97.43799255559226</v>
      </c>
    </row>
    <row r="10" spans="2:10" x14ac:dyDescent="0.25">
      <c r="B10" s="324" t="s">
        <v>271</v>
      </c>
      <c r="C10" s="325">
        <v>0</v>
      </c>
      <c r="D10" s="325">
        <v>0</v>
      </c>
      <c r="E10" s="325">
        <v>0</v>
      </c>
      <c r="F10" s="325">
        <v>0</v>
      </c>
      <c r="G10" s="325">
        <v>0</v>
      </c>
      <c r="H10" s="325">
        <v>0</v>
      </c>
      <c r="I10" s="325">
        <v>0</v>
      </c>
      <c r="J10" s="325">
        <v>0</v>
      </c>
    </row>
    <row r="11" spans="2:10" x14ac:dyDescent="0.25">
      <c r="B11" s="326" t="s">
        <v>267</v>
      </c>
      <c r="C11" s="327">
        <v>137160</v>
      </c>
      <c r="D11" s="327">
        <v>87600</v>
      </c>
      <c r="E11" s="327">
        <v>0</v>
      </c>
      <c r="F11" s="327">
        <v>0</v>
      </c>
      <c r="G11" s="327">
        <v>0</v>
      </c>
      <c r="H11" s="327">
        <f>C11+D11+E11+F11+G11</f>
        <v>224760</v>
      </c>
      <c r="I11" s="327">
        <v>0</v>
      </c>
      <c r="J11" s="327">
        <f>H11+I11</f>
        <v>224760</v>
      </c>
    </row>
    <row r="12" spans="2:10" x14ac:dyDescent="0.25">
      <c r="B12" s="326" t="s">
        <v>272</v>
      </c>
      <c r="C12" s="327">
        <v>137160</v>
      </c>
      <c r="D12" s="327">
        <v>87600</v>
      </c>
      <c r="E12" s="327">
        <v>0</v>
      </c>
      <c r="F12" s="327">
        <v>0</v>
      </c>
      <c r="G12" s="327">
        <v>0</v>
      </c>
      <c r="H12" s="327">
        <f t="shared" ref="H12:H13" si="3">C12+D12+E12+F12+G12</f>
        <v>224760</v>
      </c>
      <c r="I12" s="327">
        <v>0</v>
      </c>
      <c r="J12" s="327">
        <f>H12+I12</f>
        <v>224760</v>
      </c>
    </row>
    <row r="13" spans="2:10" x14ac:dyDescent="0.25">
      <c r="B13" s="324" t="s">
        <v>269</v>
      </c>
      <c r="C13" s="325">
        <f>89310+13.64-1</f>
        <v>89322.64</v>
      </c>
      <c r="D13" s="325">
        <v>60006</v>
      </c>
      <c r="E13" s="325">
        <v>0</v>
      </c>
      <c r="F13" s="325">
        <v>0</v>
      </c>
      <c r="G13" s="325">
        <v>0</v>
      </c>
      <c r="H13" s="328">
        <f t="shared" si="3"/>
        <v>149328.64000000001</v>
      </c>
      <c r="I13" s="325">
        <v>0</v>
      </c>
      <c r="J13" s="328">
        <f>E13+F13+G13+H13+I13</f>
        <v>149328.64000000001</v>
      </c>
    </row>
    <row r="14" spans="2:10" ht="15.75" thickBot="1" x14ac:dyDescent="0.3">
      <c r="B14" s="329" t="s">
        <v>270</v>
      </c>
      <c r="C14" s="330">
        <f>C13/C12*100</f>
        <v>65.122951297754454</v>
      </c>
      <c r="D14" s="330">
        <f>D13/D12*100</f>
        <v>68.5</v>
      </c>
      <c r="E14" s="330"/>
      <c r="F14" s="330"/>
      <c r="G14" s="330"/>
      <c r="H14" s="330">
        <f t="shared" ref="H14" si="4">H13/H12*100</f>
        <v>66.439152874176912</v>
      </c>
      <c r="I14" s="330"/>
      <c r="J14" s="330">
        <f>J13/J12*100</f>
        <v>66.439152874176912</v>
      </c>
    </row>
    <row r="15" spans="2:10" x14ac:dyDescent="0.25">
      <c r="B15" s="324" t="s">
        <v>273</v>
      </c>
      <c r="C15" s="325">
        <v>0</v>
      </c>
      <c r="D15" s="325">
        <v>0</v>
      </c>
      <c r="E15" s="325">
        <v>0</v>
      </c>
      <c r="F15" s="325">
        <v>0</v>
      </c>
      <c r="G15" s="325">
        <v>0</v>
      </c>
      <c r="H15" s="325">
        <v>0</v>
      </c>
      <c r="I15" s="325">
        <v>0</v>
      </c>
      <c r="J15" s="325">
        <v>0</v>
      </c>
    </row>
    <row r="16" spans="2:10" x14ac:dyDescent="0.25">
      <c r="B16" s="326" t="s">
        <v>267</v>
      </c>
      <c r="C16" s="327">
        <v>75245</v>
      </c>
      <c r="D16" s="327">
        <v>27436</v>
      </c>
      <c r="E16" s="327">
        <v>850</v>
      </c>
      <c r="F16" s="327">
        <v>428</v>
      </c>
      <c r="G16" s="327">
        <v>0</v>
      </c>
      <c r="H16" s="327">
        <f>C16+D16+E16+F16+G16</f>
        <v>103959</v>
      </c>
      <c r="I16" s="327">
        <v>0</v>
      </c>
      <c r="J16" s="327">
        <f>H16+I16</f>
        <v>103959</v>
      </c>
    </row>
    <row r="17" spans="2:10" x14ac:dyDescent="0.25">
      <c r="B17" s="326" t="s">
        <v>268</v>
      </c>
      <c r="C17" s="327">
        <v>82745</v>
      </c>
      <c r="D17" s="327">
        <v>21437</v>
      </c>
      <c r="E17" s="327">
        <v>850</v>
      </c>
      <c r="F17" s="327">
        <v>428</v>
      </c>
      <c r="G17" s="327">
        <v>0</v>
      </c>
      <c r="H17" s="327">
        <f t="shared" ref="H17:H18" si="5">C17+D17+E17+F17+G17</f>
        <v>105460</v>
      </c>
      <c r="I17" s="327">
        <v>0</v>
      </c>
      <c r="J17" s="327">
        <f>H17+I17</f>
        <v>105460</v>
      </c>
    </row>
    <row r="18" spans="2:10" x14ac:dyDescent="0.25">
      <c r="B18" s="324" t="s">
        <v>269</v>
      </c>
      <c r="C18" s="325">
        <f>48590+1599.68</f>
        <v>50189.68</v>
      </c>
      <c r="D18" s="325">
        <v>5287</v>
      </c>
      <c r="E18" s="325">
        <v>22</v>
      </c>
      <c r="F18" s="325">
        <v>305</v>
      </c>
      <c r="G18" s="325">
        <v>0</v>
      </c>
      <c r="H18" s="328">
        <f t="shared" si="5"/>
        <v>55803.68</v>
      </c>
      <c r="I18" s="325">
        <v>0</v>
      </c>
      <c r="J18" s="328">
        <f>C18+D18+E18+F18</f>
        <v>55803.68</v>
      </c>
    </row>
    <row r="19" spans="2:10" x14ac:dyDescent="0.25">
      <c r="B19" s="324" t="s">
        <v>270</v>
      </c>
      <c r="C19" s="331">
        <f>C18/C17*100</f>
        <v>60.655846274699378</v>
      </c>
      <c r="D19" s="331">
        <f t="shared" ref="D19:J19" si="6">D18/D17*100</f>
        <v>24.662965900079303</v>
      </c>
      <c r="E19" s="331">
        <f t="shared" si="6"/>
        <v>2.5882352941176472</v>
      </c>
      <c r="F19" s="331">
        <f t="shared" si="6"/>
        <v>71.261682242990659</v>
      </c>
      <c r="G19" s="331"/>
      <c r="H19" s="331">
        <f t="shared" ref="H19" si="7">H18/H17*100</f>
        <v>52.914545799355203</v>
      </c>
      <c r="I19" s="331"/>
      <c r="J19" s="331">
        <f t="shared" si="6"/>
        <v>52.914545799355203</v>
      </c>
    </row>
    <row r="20" spans="2:10" x14ac:dyDescent="0.25">
      <c r="B20" s="332" t="s">
        <v>274</v>
      </c>
      <c r="C20" s="333">
        <v>0</v>
      </c>
      <c r="D20" s="333">
        <v>0</v>
      </c>
      <c r="E20" s="333">
        <v>0</v>
      </c>
      <c r="F20" s="333">
        <v>0</v>
      </c>
      <c r="G20" s="333">
        <v>0</v>
      </c>
      <c r="H20" s="333">
        <v>0</v>
      </c>
      <c r="I20" s="333">
        <v>0</v>
      </c>
      <c r="J20" s="333">
        <v>0</v>
      </c>
    </row>
    <row r="21" spans="2:10" x14ac:dyDescent="0.25">
      <c r="B21" s="326" t="s">
        <v>267</v>
      </c>
      <c r="C21" s="327">
        <v>32688</v>
      </c>
      <c r="D21" s="327">
        <v>14394</v>
      </c>
      <c r="E21" s="327">
        <v>375</v>
      </c>
      <c r="F21" s="327">
        <v>313</v>
      </c>
      <c r="G21" s="327">
        <v>0</v>
      </c>
      <c r="H21" s="327">
        <f>C21+D21+E21+F21+G21</f>
        <v>47770</v>
      </c>
      <c r="I21" s="327">
        <v>0</v>
      </c>
      <c r="J21" s="327">
        <f>H21+I21</f>
        <v>47770</v>
      </c>
    </row>
    <row r="22" spans="2:10" x14ac:dyDescent="0.25">
      <c r="B22" s="326" t="s">
        <v>268</v>
      </c>
      <c r="C22" s="327">
        <v>33718</v>
      </c>
      <c r="D22" s="327">
        <v>12744</v>
      </c>
      <c r="E22" s="327">
        <v>375</v>
      </c>
      <c r="F22" s="327">
        <v>313</v>
      </c>
      <c r="G22" s="327">
        <v>0</v>
      </c>
      <c r="H22" s="327">
        <f t="shared" ref="H22:H23" si="8">C22+D22+E22+F22+G22</f>
        <v>47150</v>
      </c>
      <c r="I22" s="327">
        <v>0</v>
      </c>
      <c r="J22" s="327">
        <f>H22+I22</f>
        <v>47150</v>
      </c>
    </row>
    <row r="23" spans="2:10" x14ac:dyDescent="0.25">
      <c r="B23" s="324" t="s">
        <v>269</v>
      </c>
      <c r="C23" s="325">
        <f>22962+1281.35</f>
        <v>24243.35</v>
      </c>
      <c r="D23" s="325">
        <v>4912</v>
      </c>
      <c r="E23" s="325">
        <v>22</v>
      </c>
      <c r="F23" s="325">
        <v>217</v>
      </c>
      <c r="G23" s="325">
        <v>0</v>
      </c>
      <c r="H23" s="328">
        <f t="shared" si="8"/>
        <v>29394.35</v>
      </c>
      <c r="I23" s="325">
        <v>0</v>
      </c>
      <c r="J23" s="328">
        <f>C23+D23+E23+F23+G23</f>
        <v>29394.35</v>
      </c>
    </row>
    <row r="24" spans="2:10" ht="15.75" thickBot="1" x14ac:dyDescent="0.3">
      <c r="B24" s="329" t="s">
        <v>270</v>
      </c>
      <c r="C24" s="330">
        <f>C23/C22*100</f>
        <v>71.900320303695352</v>
      </c>
      <c r="D24" s="330">
        <f>D23/D22*100</f>
        <v>38.543628374136851</v>
      </c>
      <c r="E24" s="330">
        <f>E23/E22*100</f>
        <v>5.8666666666666663</v>
      </c>
      <c r="F24" s="330">
        <f>F23/F22*100</f>
        <v>69.329073482428115</v>
      </c>
      <c r="G24" s="330"/>
      <c r="H24" s="330">
        <f t="shared" ref="H24" si="9">H23/H22*100</f>
        <v>62.342205726405084</v>
      </c>
      <c r="I24" s="330"/>
      <c r="J24" s="330">
        <f>J23/J22*100</f>
        <v>62.342205726405084</v>
      </c>
    </row>
    <row r="25" spans="2:10" x14ac:dyDescent="0.25">
      <c r="B25" s="324" t="s">
        <v>275</v>
      </c>
      <c r="C25" s="325">
        <v>0</v>
      </c>
      <c r="D25" s="325">
        <v>0</v>
      </c>
      <c r="E25" s="325">
        <v>0</v>
      </c>
      <c r="F25" s="325">
        <v>0</v>
      </c>
      <c r="G25" s="325">
        <v>0</v>
      </c>
      <c r="H25" s="325">
        <v>0</v>
      </c>
      <c r="I25" s="325">
        <v>0</v>
      </c>
      <c r="J25" s="325">
        <v>0</v>
      </c>
    </row>
    <row r="26" spans="2:10" x14ac:dyDescent="0.25">
      <c r="B26" s="326" t="s">
        <v>267</v>
      </c>
      <c r="C26" s="327">
        <v>0</v>
      </c>
      <c r="D26" s="327">
        <v>2000</v>
      </c>
      <c r="E26" s="327">
        <v>113568</v>
      </c>
      <c r="F26" s="327">
        <v>0</v>
      </c>
      <c r="G26" s="327">
        <v>0</v>
      </c>
      <c r="H26" s="327">
        <f>C26+D26+E26+F26+G26</f>
        <v>115568</v>
      </c>
      <c r="I26" s="327">
        <v>0</v>
      </c>
      <c r="J26" s="327">
        <f>H26+I26</f>
        <v>115568</v>
      </c>
    </row>
    <row r="27" spans="2:10" x14ac:dyDescent="0.25">
      <c r="B27" s="326" t="s">
        <v>268</v>
      </c>
      <c r="C27" s="327">
        <v>0</v>
      </c>
      <c r="D27" s="327">
        <v>2000</v>
      </c>
      <c r="E27" s="327">
        <v>113568</v>
      </c>
      <c r="F27" s="327">
        <v>0</v>
      </c>
      <c r="G27" s="327">
        <v>0</v>
      </c>
      <c r="H27" s="327">
        <f>C27+D27+E27+F27+G27</f>
        <v>115568</v>
      </c>
      <c r="I27" s="327">
        <v>0</v>
      </c>
      <c r="J27" s="327">
        <f>H27+I27</f>
        <v>115568</v>
      </c>
    </row>
    <row r="28" spans="2:10" x14ac:dyDescent="0.25">
      <c r="B28" s="324" t="s">
        <v>269</v>
      </c>
      <c r="C28" s="325">
        <v>0</v>
      </c>
      <c r="D28" s="325">
        <v>1352</v>
      </c>
      <c r="E28" s="325">
        <v>112428</v>
      </c>
      <c r="F28" s="325">
        <v>0</v>
      </c>
      <c r="G28" s="325">
        <v>0</v>
      </c>
      <c r="H28" s="328">
        <f>C28+D28+E28+F28+G28</f>
        <v>113780</v>
      </c>
      <c r="I28" s="325">
        <v>0</v>
      </c>
      <c r="J28" s="328">
        <f>H28+I28</f>
        <v>113780</v>
      </c>
    </row>
    <row r="29" spans="2:10" ht="15.75" thickBot="1" x14ac:dyDescent="0.3">
      <c r="B29" s="329" t="s">
        <v>270</v>
      </c>
      <c r="C29" s="330"/>
      <c r="D29" s="330">
        <f>D28/D27*100</f>
        <v>67.600000000000009</v>
      </c>
      <c r="E29" s="330">
        <f t="shared" ref="E29:J29" si="10">E28/E27*100</f>
        <v>98.99619611158073</v>
      </c>
      <c r="F29" s="330"/>
      <c r="G29" s="330"/>
      <c r="H29" s="330">
        <f t="shared" si="10"/>
        <v>98.452858922885227</v>
      </c>
      <c r="I29" s="330"/>
      <c r="J29" s="330">
        <f t="shared" si="10"/>
        <v>98.452858922885227</v>
      </c>
    </row>
    <row r="30" spans="2:10" x14ac:dyDescent="0.25">
      <c r="B30" s="326" t="s">
        <v>276</v>
      </c>
      <c r="C30" s="327">
        <v>0</v>
      </c>
      <c r="D30" s="327">
        <v>0</v>
      </c>
      <c r="E30" s="327">
        <v>0</v>
      </c>
      <c r="F30" s="327">
        <v>0</v>
      </c>
      <c r="G30" s="327">
        <v>0</v>
      </c>
      <c r="H30" s="327">
        <v>0</v>
      </c>
      <c r="I30" s="327">
        <v>0</v>
      </c>
      <c r="J30" s="327">
        <v>0</v>
      </c>
    </row>
    <row r="31" spans="2:10" x14ac:dyDescent="0.25">
      <c r="B31" s="326" t="s">
        <v>277</v>
      </c>
      <c r="C31" s="334">
        <f>C6+C11+C16+C21+C26</f>
        <v>1171293</v>
      </c>
      <c r="D31" s="334">
        <f>D6+D11+D16+D21+D27</f>
        <v>15811129</v>
      </c>
      <c r="E31" s="334">
        <f>E6+E11+E16+E21+E26</f>
        <v>25475541</v>
      </c>
      <c r="F31" s="334">
        <f t="shared" ref="F31:G31" si="11">F6+F11+F16+F21</f>
        <v>100637</v>
      </c>
      <c r="G31" s="334">
        <f t="shared" si="11"/>
        <v>1431550</v>
      </c>
      <c r="H31" s="334">
        <f>C31+D31+E31+F31+G31</f>
        <v>43990150</v>
      </c>
      <c r="I31" s="334">
        <f>I6+I11+I16+I21+I26</f>
        <v>1189272</v>
      </c>
      <c r="J31" s="334">
        <f>H31+I31</f>
        <v>45179422</v>
      </c>
    </row>
    <row r="32" spans="2:10" x14ac:dyDescent="0.25">
      <c r="B32" s="326" t="s">
        <v>278</v>
      </c>
      <c r="C32" s="334">
        <f>C7+C12+C17+C22+C27</f>
        <v>1554754</v>
      </c>
      <c r="D32" s="334">
        <f t="shared" ref="D32:G33" si="12">D7+D12+D17+D22+D27</f>
        <v>23816019</v>
      </c>
      <c r="E32" s="334">
        <f t="shared" si="12"/>
        <v>27811533</v>
      </c>
      <c r="F32" s="334">
        <f t="shared" si="12"/>
        <v>176037</v>
      </c>
      <c r="G32" s="334">
        <f t="shared" si="12"/>
        <v>2724561</v>
      </c>
      <c r="H32" s="334">
        <f t="shared" ref="H32:H33" si="13">C32+D32+E32+F32+G32</f>
        <v>56082904</v>
      </c>
      <c r="I32" s="334">
        <f>I7+I12+I17+I22+I27</f>
        <v>6098756</v>
      </c>
      <c r="J32" s="334">
        <f>H32+I32</f>
        <v>62181660</v>
      </c>
    </row>
    <row r="33" spans="2:11" x14ac:dyDescent="0.25">
      <c r="B33" s="326" t="s">
        <v>279</v>
      </c>
      <c r="C33" s="335">
        <f>C8+C13+C18+C23+C28</f>
        <v>1386243.95</v>
      </c>
      <c r="D33" s="335">
        <f t="shared" si="12"/>
        <v>23499545.629999999</v>
      </c>
      <c r="E33" s="335">
        <f t="shared" si="12"/>
        <v>27420066.050000001</v>
      </c>
      <c r="F33" s="335">
        <f t="shared" si="12"/>
        <v>170101.16999999998</v>
      </c>
      <c r="G33" s="335">
        <f t="shared" si="12"/>
        <v>2599666.2199999997</v>
      </c>
      <c r="H33" s="335">
        <f t="shared" si="13"/>
        <v>55075623.019999996</v>
      </c>
      <c r="I33" s="336">
        <f>I8+I13+I18+I23+I28</f>
        <v>5380936</v>
      </c>
      <c r="J33" s="336">
        <f>H33+I33</f>
        <v>60456559.019999996</v>
      </c>
    </row>
    <row r="34" spans="2:11" ht="15.75" thickBot="1" x14ac:dyDescent="0.3">
      <c r="B34" s="329" t="s">
        <v>270</v>
      </c>
      <c r="C34" s="337">
        <f t="shared" ref="C34:J34" si="14">C33/C32*100</f>
        <v>89.161626212249658</v>
      </c>
      <c r="D34" s="337">
        <f t="shared" si="14"/>
        <v>98.671174346980479</v>
      </c>
      <c r="E34" s="337">
        <f t="shared" si="14"/>
        <v>98.592429442850204</v>
      </c>
      <c r="F34" s="337">
        <f t="shared" si="14"/>
        <v>96.628078188108162</v>
      </c>
      <c r="G34" s="337">
        <f t="shared" si="14"/>
        <v>95.415966829151543</v>
      </c>
      <c r="H34" s="337">
        <f t="shared" si="14"/>
        <v>98.203942898534635</v>
      </c>
      <c r="I34" s="337">
        <f t="shared" si="14"/>
        <v>88.230058720171783</v>
      </c>
      <c r="J34" s="337">
        <f t="shared" si="14"/>
        <v>97.225707740835475</v>
      </c>
    </row>
    <row r="35" spans="2:11" x14ac:dyDescent="0.25">
      <c r="B35" s="324" t="s">
        <v>280</v>
      </c>
      <c r="C35" s="325">
        <v>0</v>
      </c>
      <c r="D35" s="325">
        <v>0</v>
      </c>
      <c r="E35" s="325">
        <v>0</v>
      </c>
      <c r="F35" s="325">
        <v>0</v>
      </c>
      <c r="G35" s="325">
        <v>0</v>
      </c>
      <c r="H35" s="325">
        <v>0</v>
      </c>
      <c r="I35" s="325">
        <v>0</v>
      </c>
      <c r="J35" s="325">
        <v>0</v>
      </c>
    </row>
    <row r="36" spans="2:11" x14ac:dyDescent="0.25">
      <c r="B36" s="326" t="s">
        <v>267</v>
      </c>
      <c r="C36" s="327">
        <v>2452326</v>
      </c>
      <c r="D36" s="327">
        <v>6707360</v>
      </c>
      <c r="E36" s="327">
        <v>51358697</v>
      </c>
      <c r="F36" s="327">
        <v>222777</v>
      </c>
      <c r="G36" s="327">
        <v>79418</v>
      </c>
      <c r="H36" s="334">
        <f>C36+D36+E36+F36+G36</f>
        <v>60820578</v>
      </c>
      <c r="I36" s="334">
        <v>0</v>
      </c>
      <c r="J36" s="334">
        <f>H36+I36</f>
        <v>60820578</v>
      </c>
    </row>
    <row r="37" spans="2:11" x14ac:dyDescent="0.25">
      <c r="B37" s="326" t="s">
        <v>268</v>
      </c>
      <c r="C37" s="327">
        <v>2519432</v>
      </c>
      <c r="D37" s="327">
        <v>7759461.5</v>
      </c>
      <c r="E37" s="327">
        <v>53204516</v>
      </c>
      <c r="F37" s="327">
        <v>222942</v>
      </c>
      <c r="G37" s="327">
        <v>111988.5</v>
      </c>
      <c r="H37" s="334">
        <f>C37+D37+E37+F37+G37</f>
        <v>63818340</v>
      </c>
      <c r="I37" s="334">
        <v>0</v>
      </c>
      <c r="J37" s="334">
        <f>H37+I37</f>
        <v>63818340</v>
      </c>
    </row>
    <row r="38" spans="2:11" x14ac:dyDescent="0.25">
      <c r="B38" s="324" t="s">
        <v>269</v>
      </c>
      <c r="C38" s="325">
        <v>2268161</v>
      </c>
      <c r="D38" s="325">
        <v>7369612</v>
      </c>
      <c r="E38" s="325">
        <v>53161632</v>
      </c>
      <c r="F38" s="325">
        <v>198771.51</v>
      </c>
      <c r="G38" s="325">
        <v>101873</v>
      </c>
      <c r="H38" s="335">
        <f>C38+D38+E38+F38+G38</f>
        <v>63100049.509999998</v>
      </c>
      <c r="I38" s="338">
        <v>0</v>
      </c>
      <c r="J38" s="338">
        <f>H38+I38</f>
        <v>63100049.509999998</v>
      </c>
      <c r="K38" s="339"/>
    </row>
    <row r="39" spans="2:11" ht="15.75" thickBot="1" x14ac:dyDescent="0.3">
      <c r="B39" s="329" t="s">
        <v>270</v>
      </c>
      <c r="C39" s="330">
        <f t="shared" ref="C39:H39" si="15">C38/C37*100</f>
        <v>90.026680616900961</v>
      </c>
      <c r="D39" s="330">
        <f t="shared" si="15"/>
        <v>94.975817587341595</v>
      </c>
      <c r="E39" s="330">
        <f t="shared" si="15"/>
        <v>99.919397819538474</v>
      </c>
      <c r="F39" s="330">
        <f t="shared" si="15"/>
        <v>89.158395457114409</v>
      </c>
      <c r="G39" s="330">
        <f t="shared" si="15"/>
        <v>90.967376114511751</v>
      </c>
      <c r="H39" s="330">
        <f t="shared" si="15"/>
        <v>98.87447638092749</v>
      </c>
      <c r="I39" s="330"/>
      <c r="J39" s="330">
        <f>J38/J37*100</f>
        <v>98.87447638092749</v>
      </c>
    </row>
    <row r="40" spans="2:11" x14ac:dyDescent="0.25">
      <c r="B40" s="326" t="s">
        <v>281</v>
      </c>
      <c r="C40" s="327">
        <v>0</v>
      </c>
      <c r="D40" s="327">
        <v>0</v>
      </c>
      <c r="E40" s="327">
        <v>0</v>
      </c>
      <c r="F40" s="327">
        <v>0</v>
      </c>
      <c r="G40" s="327">
        <v>0</v>
      </c>
      <c r="H40" s="327">
        <v>0</v>
      </c>
      <c r="I40" s="327">
        <v>0</v>
      </c>
      <c r="J40" s="327">
        <v>0</v>
      </c>
    </row>
    <row r="41" spans="2:11" x14ac:dyDescent="0.25">
      <c r="B41" s="326" t="s">
        <v>282</v>
      </c>
      <c r="C41" s="335">
        <f>C31+C36</f>
        <v>3623619</v>
      </c>
      <c r="D41" s="335">
        <f t="shared" ref="D41:I43" si="16">D31+D36</f>
        <v>22518489</v>
      </c>
      <c r="E41" s="335">
        <f t="shared" si="16"/>
        <v>76834238</v>
      </c>
      <c r="F41" s="335">
        <f t="shared" si="16"/>
        <v>323414</v>
      </c>
      <c r="G41" s="335">
        <f t="shared" si="16"/>
        <v>1510968</v>
      </c>
      <c r="H41" s="335">
        <f>H31+H36</f>
        <v>104810728</v>
      </c>
      <c r="I41" s="335">
        <f>I6+I16+I21+I26+I36</f>
        <v>1189272</v>
      </c>
      <c r="J41" s="335">
        <f>J31+J36</f>
        <v>106000000</v>
      </c>
      <c r="K41" s="319"/>
    </row>
    <row r="42" spans="2:11" x14ac:dyDescent="0.25">
      <c r="B42" s="326" t="s">
        <v>283</v>
      </c>
      <c r="C42" s="335">
        <f>C32+C37</f>
        <v>4074186</v>
      </c>
      <c r="D42" s="335">
        <f t="shared" si="16"/>
        <v>31575480.5</v>
      </c>
      <c r="E42" s="335">
        <f t="shared" si="16"/>
        <v>81016049</v>
      </c>
      <c r="F42" s="335">
        <f t="shared" si="16"/>
        <v>398979</v>
      </c>
      <c r="G42" s="335">
        <f t="shared" si="16"/>
        <v>2836549.5</v>
      </c>
      <c r="H42" s="335">
        <f t="shared" si="16"/>
        <v>119901244</v>
      </c>
      <c r="I42" s="335">
        <f>I7+I12+I17+I22+I27+I37</f>
        <v>6098756</v>
      </c>
      <c r="J42" s="335">
        <f t="shared" ref="J42" si="17">J32+J37</f>
        <v>126000000</v>
      </c>
      <c r="K42" s="319"/>
    </row>
    <row r="43" spans="2:11" x14ac:dyDescent="0.25">
      <c r="B43" s="326" t="s">
        <v>284</v>
      </c>
      <c r="C43" s="335">
        <f>C33+C38</f>
        <v>3654404.95</v>
      </c>
      <c r="D43" s="335">
        <f t="shared" si="16"/>
        <v>30869157.629999999</v>
      </c>
      <c r="E43" s="335">
        <f t="shared" si="16"/>
        <v>80581698.049999997</v>
      </c>
      <c r="F43" s="335">
        <f t="shared" si="16"/>
        <v>368872.68</v>
      </c>
      <c r="G43" s="335">
        <f t="shared" si="16"/>
        <v>2701539.2199999997</v>
      </c>
      <c r="H43" s="335">
        <f t="shared" si="16"/>
        <v>118175672.53</v>
      </c>
      <c r="I43" s="335">
        <f t="shared" si="16"/>
        <v>5380936</v>
      </c>
      <c r="J43" s="335">
        <f>J33+J38</f>
        <v>123556608.53</v>
      </c>
      <c r="K43" s="319"/>
    </row>
    <row r="44" spans="2:11" x14ac:dyDescent="0.25">
      <c r="B44" s="340" t="s">
        <v>285</v>
      </c>
      <c r="C44" s="341">
        <f t="shared" ref="C44:J44" si="18">C43/C42*100</f>
        <v>89.696566381603589</v>
      </c>
      <c r="D44" s="341">
        <f t="shared" si="18"/>
        <v>97.763065331658211</v>
      </c>
      <c r="E44" s="341">
        <f t="shared" si="18"/>
        <v>99.4638704857108</v>
      </c>
      <c r="F44" s="341">
        <f t="shared" si="18"/>
        <v>92.454159241463842</v>
      </c>
      <c r="G44" s="341">
        <f t="shared" si="18"/>
        <v>95.240334074903316</v>
      </c>
      <c r="H44" s="341">
        <f t="shared" si="18"/>
        <v>98.560839393793103</v>
      </c>
      <c r="I44" s="341">
        <f t="shared" si="18"/>
        <v>88.230058720171783</v>
      </c>
      <c r="J44" s="341">
        <f t="shared" si="18"/>
        <v>98.060800420634919</v>
      </c>
    </row>
    <row r="46" spans="2:11" x14ac:dyDescent="0.25">
      <c r="C46" s="342"/>
      <c r="D46" s="342"/>
      <c r="E46" s="342"/>
      <c r="F46" s="342"/>
      <c r="G46" s="342"/>
      <c r="H46" s="342"/>
      <c r="I46" s="342"/>
      <c r="J46" s="342"/>
    </row>
    <row r="47" spans="2:11" x14ac:dyDescent="0.25">
      <c r="C47" s="342"/>
      <c r="D47" s="342"/>
      <c r="E47" s="342"/>
      <c r="F47" s="342"/>
      <c r="G47" s="342"/>
      <c r="H47" s="342"/>
      <c r="I47" s="342"/>
      <c r="J47" s="342"/>
    </row>
    <row r="48" spans="2:11" x14ac:dyDescent="0.25">
      <c r="H48" s="319"/>
    </row>
    <row r="49" spans="3:7" x14ac:dyDescent="0.25">
      <c r="E49" s="342"/>
      <c r="G49" s="319"/>
    </row>
    <row r="50" spans="3:7" x14ac:dyDescent="0.25">
      <c r="C50" s="342"/>
    </row>
    <row r="54" spans="3:7" x14ac:dyDescent="0.25">
      <c r="G54" s="319"/>
    </row>
  </sheetData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10" workbookViewId="0">
      <selection activeCell="G2" sqref="G2"/>
    </sheetView>
  </sheetViews>
  <sheetFormatPr defaultRowHeight="15" x14ac:dyDescent="0.25"/>
  <cols>
    <col min="1" max="16384" width="9.140625" style="174"/>
  </cols>
  <sheetData/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3"/>
  <sheetViews>
    <sheetView zoomScale="75" workbookViewId="0">
      <selection activeCell="J21" sqref="J21"/>
    </sheetView>
  </sheetViews>
  <sheetFormatPr defaultRowHeight="12.75" x14ac:dyDescent="0.2"/>
  <cols>
    <col min="1" max="1" width="15.85546875" style="343" customWidth="1"/>
    <col min="2" max="3" width="10.5703125" style="343" customWidth="1"/>
    <col min="4" max="4" width="9.85546875" style="343" customWidth="1"/>
    <col min="5" max="5" width="9.28515625" style="343" customWidth="1"/>
    <col min="6" max="6" width="70.42578125" style="343" customWidth="1"/>
    <col min="7" max="7" width="22.5703125" style="343" customWidth="1"/>
    <col min="8" max="8" width="22" style="474" customWidth="1"/>
    <col min="9" max="9" width="22.140625" style="343" customWidth="1"/>
    <col min="10" max="10" width="14.28515625" style="343" customWidth="1"/>
    <col min="11" max="16384" width="9.140625" style="343"/>
  </cols>
  <sheetData>
    <row r="1" spans="1:10" ht="15" x14ac:dyDescent="0.2">
      <c r="G1" s="344"/>
      <c r="H1" s="345"/>
    </row>
    <row r="3" spans="1:10" ht="23.25" x14ac:dyDescent="0.35">
      <c r="A3" s="346" t="s">
        <v>286</v>
      </c>
      <c r="B3" s="347"/>
      <c r="C3" s="347"/>
      <c r="D3" s="347"/>
      <c r="E3" s="347"/>
      <c r="F3" s="347"/>
      <c r="G3" s="347"/>
      <c r="H3" s="348"/>
      <c r="I3" s="349"/>
    </row>
    <row r="4" spans="1:10" ht="24.75" customHeight="1" x14ac:dyDescent="0.25">
      <c r="A4" s="346" t="s">
        <v>287</v>
      </c>
      <c r="B4" s="346"/>
      <c r="C4" s="346"/>
      <c r="D4" s="346"/>
      <c r="E4" s="350"/>
      <c r="F4" s="350"/>
      <c r="G4" s="349"/>
      <c r="H4" s="351"/>
      <c r="I4" s="349"/>
    </row>
    <row r="5" spans="1:10" ht="15.75" thickBot="1" x14ac:dyDescent="0.25">
      <c r="B5" s="352"/>
      <c r="C5" s="352"/>
      <c r="G5" s="353"/>
      <c r="H5" s="354"/>
      <c r="I5" s="344"/>
      <c r="J5" s="355" t="s">
        <v>244</v>
      </c>
    </row>
    <row r="6" spans="1:10" ht="24" customHeight="1" x14ac:dyDescent="0.25">
      <c r="A6" s="356" t="s">
        <v>288</v>
      </c>
      <c r="B6" s="357" t="s">
        <v>289</v>
      </c>
      <c r="C6" s="358"/>
      <c r="D6" s="358"/>
      <c r="E6" s="359"/>
      <c r="F6" s="360" t="s">
        <v>290</v>
      </c>
      <c r="G6" s="360" t="s">
        <v>291</v>
      </c>
      <c r="H6" s="361" t="s">
        <v>292</v>
      </c>
      <c r="I6" s="360" t="s">
        <v>293</v>
      </c>
      <c r="J6" s="360" t="s">
        <v>294</v>
      </c>
    </row>
    <row r="7" spans="1:10" ht="17.25" customHeight="1" x14ac:dyDescent="0.25">
      <c r="A7" s="362" t="s">
        <v>295</v>
      </c>
      <c r="B7" s="363" t="s">
        <v>296</v>
      </c>
      <c r="C7" s="364" t="s">
        <v>297</v>
      </c>
      <c r="D7" s="365" t="s">
        <v>298</v>
      </c>
      <c r="E7" s="366" t="s">
        <v>299</v>
      </c>
      <c r="F7" s="367"/>
      <c r="G7" s="368" t="s">
        <v>300</v>
      </c>
      <c r="H7" s="369" t="s">
        <v>301</v>
      </c>
      <c r="I7" s="368" t="s">
        <v>302</v>
      </c>
      <c r="J7" s="368" t="s">
        <v>303</v>
      </c>
    </row>
    <row r="8" spans="1:10" ht="15" x14ac:dyDescent="0.25">
      <c r="A8" s="370" t="s">
        <v>304</v>
      </c>
      <c r="B8" s="371" t="s">
        <v>305</v>
      </c>
      <c r="C8" s="364"/>
      <c r="D8" s="364"/>
      <c r="E8" s="372" t="s">
        <v>306</v>
      </c>
      <c r="F8" s="373"/>
      <c r="G8" s="368" t="s">
        <v>307</v>
      </c>
      <c r="H8" s="369" t="s">
        <v>307</v>
      </c>
      <c r="I8" s="374">
        <v>2014</v>
      </c>
      <c r="J8" s="375" t="s">
        <v>308</v>
      </c>
    </row>
    <row r="9" spans="1:10" ht="15.75" thickBot="1" x14ac:dyDescent="0.3">
      <c r="A9" s="370" t="s">
        <v>309</v>
      </c>
      <c r="B9" s="376"/>
      <c r="C9" s="377"/>
      <c r="D9" s="377"/>
      <c r="E9" s="378"/>
      <c r="F9" s="379"/>
      <c r="G9" s="374"/>
      <c r="H9" s="380"/>
      <c r="I9" s="381"/>
      <c r="J9" s="382"/>
    </row>
    <row r="10" spans="1:10" ht="15" thickBot="1" x14ac:dyDescent="0.25">
      <c r="A10" s="383" t="s">
        <v>0</v>
      </c>
      <c r="B10" s="384" t="s">
        <v>310</v>
      </c>
      <c r="C10" s="385" t="s">
        <v>311</v>
      </c>
      <c r="D10" s="385" t="s">
        <v>312</v>
      </c>
      <c r="E10" s="386" t="s">
        <v>313</v>
      </c>
      <c r="F10" s="386" t="s">
        <v>314</v>
      </c>
      <c r="G10" s="386">
        <v>1</v>
      </c>
      <c r="H10" s="387">
        <v>2</v>
      </c>
      <c r="I10" s="386">
        <v>3</v>
      </c>
      <c r="J10" s="386">
        <v>4</v>
      </c>
    </row>
    <row r="11" spans="1:10" ht="24.75" customHeight="1" x14ac:dyDescent="0.25">
      <c r="A11" s="388" t="s">
        <v>315</v>
      </c>
      <c r="B11" s="389" t="s">
        <v>316</v>
      </c>
      <c r="C11" s="390"/>
      <c r="D11" s="391"/>
      <c r="E11" s="392"/>
      <c r="F11" s="393" t="s">
        <v>263</v>
      </c>
      <c r="G11" s="394">
        <f>SUM(G12+G18+G30+G83)</f>
        <v>104810728</v>
      </c>
      <c r="H11" s="394">
        <f>SUM(H12+H18+H30+H83)</f>
        <v>119901244</v>
      </c>
      <c r="I11" s="394">
        <f>SUM(I12+I18+I30+I83)</f>
        <v>118175673</v>
      </c>
      <c r="J11" s="395">
        <f t="shared" ref="J11:J73" si="0">SUM($I11/H11)*100</f>
        <v>98.560839785782377</v>
      </c>
    </row>
    <row r="12" spans="1:10" ht="18.95" customHeight="1" x14ac:dyDescent="0.25">
      <c r="A12" s="396" t="s">
        <v>315</v>
      </c>
      <c r="B12" s="397"/>
      <c r="C12" s="398" t="s">
        <v>317</v>
      </c>
      <c r="D12" s="398"/>
      <c r="E12" s="399"/>
      <c r="F12" s="400" t="s">
        <v>318</v>
      </c>
      <c r="G12" s="401">
        <f>SUM(G13+G14+G16+G17)</f>
        <v>53323000</v>
      </c>
      <c r="H12" s="401">
        <f>SUM(H13+H14+H16+H17)</f>
        <v>55999853</v>
      </c>
      <c r="I12" s="401">
        <f>SUM(I13+I14+I16+I17)</f>
        <v>55999286</v>
      </c>
      <c r="J12" s="402">
        <f t="shared" si="0"/>
        <v>99.998987497342185</v>
      </c>
    </row>
    <row r="13" spans="1:10" ht="18.95" customHeight="1" x14ac:dyDescent="0.25">
      <c r="A13" s="403" t="s">
        <v>315</v>
      </c>
      <c r="B13" s="397"/>
      <c r="C13" s="398"/>
      <c r="D13" s="404" t="s">
        <v>319</v>
      </c>
      <c r="E13" s="405"/>
      <c r="F13" s="406" t="s">
        <v>320</v>
      </c>
      <c r="G13" s="407">
        <v>50136984</v>
      </c>
      <c r="H13" s="407">
        <v>48992143</v>
      </c>
      <c r="I13" s="407">
        <v>48991926</v>
      </c>
      <c r="J13" s="408">
        <f t="shared" si="0"/>
        <v>99.999557071834971</v>
      </c>
    </row>
    <row r="14" spans="1:10" ht="18.95" customHeight="1" x14ac:dyDescent="0.25">
      <c r="A14" s="403" t="s">
        <v>315</v>
      </c>
      <c r="B14" s="397"/>
      <c r="C14" s="398"/>
      <c r="D14" s="404" t="s">
        <v>321</v>
      </c>
      <c r="E14" s="405"/>
      <c r="F14" s="406" t="s">
        <v>322</v>
      </c>
      <c r="G14" s="407">
        <f>SUM(G15:G15)</f>
        <v>262615</v>
      </c>
      <c r="H14" s="407">
        <f>SUM(H15:H15)</f>
        <v>314648</v>
      </c>
      <c r="I14" s="407">
        <f>SUM(I15:I15)</f>
        <v>314383</v>
      </c>
      <c r="J14" s="408">
        <f t="shared" si="0"/>
        <v>99.915778902138257</v>
      </c>
    </row>
    <row r="15" spans="1:10" ht="18.95" customHeight="1" x14ac:dyDescent="0.2">
      <c r="A15" s="409" t="s">
        <v>315</v>
      </c>
      <c r="B15" s="410"/>
      <c r="C15" s="411"/>
      <c r="D15" s="412"/>
      <c r="E15" s="413" t="s">
        <v>323</v>
      </c>
      <c r="F15" s="414" t="s">
        <v>324</v>
      </c>
      <c r="G15" s="415">
        <v>262615</v>
      </c>
      <c r="H15" s="415">
        <v>314648</v>
      </c>
      <c r="I15" s="415">
        <v>314383</v>
      </c>
      <c r="J15" s="416">
        <f t="shared" si="0"/>
        <v>99.915778902138257</v>
      </c>
    </row>
    <row r="16" spans="1:10" ht="18.95" customHeight="1" x14ac:dyDescent="0.25">
      <c r="A16" s="403" t="s">
        <v>315</v>
      </c>
      <c r="B16" s="397"/>
      <c r="C16" s="398"/>
      <c r="D16" s="404" t="s">
        <v>325</v>
      </c>
      <c r="E16" s="405"/>
      <c r="F16" s="406" t="s">
        <v>326</v>
      </c>
      <c r="G16" s="407">
        <v>9940</v>
      </c>
      <c r="H16" s="407">
        <v>11161</v>
      </c>
      <c r="I16" s="407">
        <v>11124</v>
      </c>
      <c r="J16" s="408">
        <f t="shared" si="0"/>
        <v>99.668488486694741</v>
      </c>
    </row>
    <row r="17" spans="1:10" ht="18.95" customHeight="1" x14ac:dyDescent="0.25">
      <c r="A17" s="403" t="s">
        <v>315</v>
      </c>
      <c r="B17" s="397"/>
      <c r="C17" s="398"/>
      <c r="D17" s="404" t="s">
        <v>327</v>
      </c>
      <c r="E17" s="405"/>
      <c r="F17" s="406" t="s">
        <v>328</v>
      </c>
      <c r="G17" s="407">
        <v>2913461</v>
      </c>
      <c r="H17" s="407">
        <v>6681901</v>
      </c>
      <c r="I17" s="407">
        <v>6681853</v>
      </c>
      <c r="J17" s="408">
        <f t="shared" si="0"/>
        <v>99.999281641556792</v>
      </c>
    </row>
    <row r="18" spans="1:10" ht="18.95" customHeight="1" x14ac:dyDescent="0.25">
      <c r="A18" s="396" t="s">
        <v>315</v>
      </c>
      <c r="B18" s="417"/>
      <c r="C18" s="418" t="s">
        <v>329</v>
      </c>
      <c r="D18" s="418"/>
      <c r="E18" s="419"/>
      <c r="F18" s="420" t="s">
        <v>330</v>
      </c>
      <c r="G18" s="421">
        <f>SUM(G19+G20+G21+G29)</f>
        <v>20564000</v>
      </c>
      <c r="H18" s="421">
        <f>SUM(H19+H20+H21+H29)</f>
        <v>21600086</v>
      </c>
      <c r="I18" s="422">
        <f>SUM(I19+I20+I21+I29)</f>
        <v>21321302</v>
      </c>
      <c r="J18" s="402">
        <f t="shared" si="0"/>
        <v>98.709338472078301</v>
      </c>
    </row>
    <row r="19" spans="1:10" ht="18.95" customHeight="1" x14ac:dyDescent="0.2">
      <c r="A19" s="403" t="s">
        <v>315</v>
      </c>
      <c r="B19" s="410"/>
      <c r="C19" s="411"/>
      <c r="D19" s="423" t="s">
        <v>331</v>
      </c>
      <c r="E19" s="424"/>
      <c r="F19" s="425" t="s">
        <v>332</v>
      </c>
      <c r="G19" s="407">
        <f>4072325+3150</f>
        <v>4075475</v>
      </c>
      <c r="H19" s="407">
        <v>4284696</v>
      </c>
      <c r="I19" s="407">
        <f>4275930+1519</f>
        <v>4277449</v>
      </c>
      <c r="J19" s="408">
        <f t="shared" si="0"/>
        <v>99.830863146416931</v>
      </c>
    </row>
    <row r="20" spans="1:10" ht="18.95" customHeight="1" x14ac:dyDescent="0.2">
      <c r="A20" s="403" t="s">
        <v>315</v>
      </c>
      <c r="B20" s="410"/>
      <c r="C20" s="411"/>
      <c r="D20" s="423" t="s">
        <v>333</v>
      </c>
      <c r="E20" s="424"/>
      <c r="F20" s="425" t="s">
        <v>334</v>
      </c>
      <c r="G20" s="407">
        <f>1333360+5250</f>
        <v>1338610</v>
      </c>
      <c r="H20" s="407">
        <v>1340611</v>
      </c>
      <c r="I20" s="407">
        <v>1336586</v>
      </c>
      <c r="J20" s="408">
        <f t="shared" si="0"/>
        <v>99.699763764432774</v>
      </c>
    </row>
    <row r="21" spans="1:10" ht="18.95" customHeight="1" x14ac:dyDescent="0.2">
      <c r="A21" s="403" t="s">
        <v>315</v>
      </c>
      <c r="B21" s="410"/>
      <c r="C21" s="411"/>
      <c r="D21" s="423" t="s">
        <v>335</v>
      </c>
      <c r="E21" s="424"/>
      <c r="F21" s="425" t="s">
        <v>336</v>
      </c>
      <c r="G21" s="407">
        <f>SUM(G22:G28)</f>
        <v>13319200</v>
      </c>
      <c r="H21" s="407">
        <f>SUM(H22:H28)</f>
        <v>14374600</v>
      </c>
      <c r="I21" s="407">
        <f>SUM(I22:I28)</f>
        <v>14143417</v>
      </c>
      <c r="J21" s="408">
        <f t="shared" si="0"/>
        <v>98.391725682801606</v>
      </c>
    </row>
    <row r="22" spans="1:10" ht="18.95" customHeight="1" x14ac:dyDescent="0.2">
      <c r="A22" s="409" t="s">
        <v>315</v>
      </c>
      <c r="B22" s="410"/>
      <c r="C22" s="411"/>
      <c r="D22" s="412"/>
      <c r="E22" s="413" t="s">
        <v>337</v>
      </c>
      <c r="F22" s="426" t="s">
        <v>338</v>
      </c>
      <c r="G22" s="415">
        <f>756812+1176</f>
        <v>757988</v>
      </c>
      <c r="H22" s="415">
        <v>791593</v>
      </c>
      <c r="I22" s="427">
        <v>790853</v>
      </c>
      <c r="J22" s="416">
        <f t="shared" si="0"/>
        <v>99.906517617007722</v>
      </c>
    </row>
    <row r="23" spans="1:10" ht="18.95" customHeight="1" x14ac:dyDescent="0.2">
      <c r="A23" s="409" t="s">
        <v>315</v>
      </c>
      <c r="B23" s="410"/>
      <c r="C23" s="411"/>
      <c r="D23" s="412"/>
      <c r="E23" s="413" t="s">
        <v>339</v>
      </c>
      <c r="F23" s="414" t="s">
        <v>340</v>
      </c>
      <c r="G23" s="415">
        <f>7405760+11760</f>
        <v>7417520</v>
      </c>
      <c r="H23" s="415">
        <v>8171256</v>
      </c>
      <c r="I23" s="428">
        <f>7914885+13241+5413+6400+2100+1</f>
        <v>7942040</v>
      </c>
      <c r="J23" s="416">
        <f t="shared" si="0"/>
        <v>97.194849849276537</v>
      </c>
    </row>
    <row r="24" spans="1:10" ht="18.95" customHeight="1" x14ac:dyDescent="0.2">
      <c r="A24" s="409" t="s">
        <v>315</v>
      </c>
      <c r="B24" s="410"/>
      <c r="C24" s="411"/>
      <c r="D24" s="412"/>
      <c r="E24" s="413" t="s">
        <v>341</v>
      </c>
      <c r="F24" s="429" t="s">
        <v>342</v>
      </c>
      <c r="G24" s="415">
        <f>432471+672</f>
        <v>433143</v>
      </c>
      <c r="H24" s="415">
        <v>455272</v>
      </c>
      <c r="I24" s="428">
        <v>454980</v>
      </c>
      <c r="J24" s="416">
        <f t="shared" si="0"/>
        <v>99.935862517352263</v>
      </c>
    </row>
    <row r="25" spans="1:10" ht="18.95" customHeight="1" x14ac:dyDescent="0.2">
      <c r="A25" s="409" t="s">
        <v>315</v>
      </c>
      <c r="B25" s="410"/>
      <c r="C25" s="411"/>
      <c r="D25" s="412"/>
      <c r="E25" s="413" t="s">
        <v>343</v>
      </c>
      <c r="F25" s="429" t="s">
        <v>344</v>
      </c>
      <c r="G25" s="415">
        <f>1567656+2520</f>
        <v>1570176</v>
      </c>
      <c r="H25" s="415">
        <v>1600439</v>
      </c>
      <c r="I25" s="428">
        <f>1594525+12259-6400</f>
        <v>1600384</v>
      </c>
      <c r="J25" s="416">
        <f t="shared" si="0"/>
        <v>99.996563442905355</v>
      </c>
    </row>
    <row r="26" spans="1:10" ht="18.95" customHeight="1" x14ac:dyDescent="0.2">
      <c r="A26" s="409" t="s">
        <v>315</v>
      </c>
      <c r="B26" s="410"/>
      <c r="C26" s="411"/>
      <c r="D26" s="412"/>
      <c r="E26" s="413" t="s">
        <v>345</v>
      </c>
      <c r="F26" s="429" t="s">
        <v>346</v>
      </c>
      <c r="G26" s="415">
        <f>513556+840</f>
        <v>514396</v>
      </c>
      <c r="H26" s="415">
        <v>528041</v>
      </c>
      <c r="I26" s="428">
        <f>525792+4337-2100</f>
        <v>528029</v>
      </c>
      <c r="J26" s="416">
        <f t="shared" si="0"/>
        <v>99.997727449194286</v>
      </c>
    </row>
    <row r="27" spans="1:10" ht="18.95" customHeight="1" x14ac:dyDescent="0.2">
      <c r="A27" s="409" t="s">
        <v>315</v>
      </c>
      <c r="B27" s="410"/>
      <c r="C27" s="411"/>
      <c r="D27" s="412"/>
      <c r="E27" s="413" t="s">
        <v>347</v>
      </c>
      <c r="F27" s="429" t="s">
        <v>348</v>
      </c>
      <c r="G27" s="415">
        <f>135157+210</f>
        <v>135367</v>
      </c>
      <c r="H27" s="415">
        <v>141824</v>
      </c>
      <c r="I27" s="427">
        <v>141588</v>
      </c>
      <c r="J27" s="416">
        <f t="shared" si="0"/>
        <v>99.833596570397106</v>
      </c>
    </row>
    <row r="28" spans="1:10" ht="18.95" customHeight="1" x14ac:dyDescent="0.2">
      <c r="A28" s="409" t="s">
        <v>315</v>
      </c>
      <c r="B28" s="410"/>
      <c r="C28" s="411"/>
      <c r="D28" s="412"/>
      <c r="E28" s="413" t="s">
        <v>349</v>
      </c>
      <c r="F28" s="429" t="s">
        <v>350</v>
      </c>
      <c r="G28" s="415">
        <f>2486620+3990</f>
        <v>2490610</v>
      </c>
      <c r="H28" s="415">
        <v>2686175</v>
      </c>
      <c r="I28" s="427">
        <f>2685542+1</f>
        <v>2685543</v>
      </c>
      <c r="J28" s="416">
        <f t="shared" si="0"/>
        <v>99.976472121138798</v>
      </c>
    </row>
    <row r="29" spans="1:10" ht="18.95" customHeight="1" x14ac:dyDescent="0.2">
      <c r="A29" s="403" t="s">
        <v>315</v>
      </c>
      <c r="B29" s="410"/>
      <c r="C29" s="411"/>
      <c r="D29" s="423" t="s">
        <v>351</v>
      </c>
      <c r="E29" s="430"/>
      <c r="F29" s="431" t="s">
        <v>352</v>
      </c>
      <c r="G29" s="407">
        <v>1830715</v>
      </c>
      <c r="H29" s="407">
        <v>1600179</v>
      </c>
      <c r="I29" s="407">
        <v>1563850</v>
      </c>
      <c r="J29" s="408">
        <f t="shared" si="0"/>
        <v>97.729691490764466</v>
      </c>
    </row>
    <row r="30" spans="1:10" ht="18.95" customHeight="1" x14ac:dyDescent="0.25">
      <c r="A30" s="396" t="s">
        <v>315</v>
      </c>
      <c r="B30" s="417"/>
      <c r="C30" s="432" t="s">
        <v>353</v>
      </c>
      <c r="D30" s="418"/>
      <c r="E30" s="433"/>
      <c r="F30" s="420" t="s">
        <v>354</v>
      </c>
      <c r="G30" s="434">
        <f>SUM(G31+G35+G40+G50+G62+G56+G65)</f>
        <v>30244728</v>
      </c>
      <c r="H30" s="435">
        <f>SUM(H31+H35+H40+H50+H62+H56+H65)</f>
        <v>41428032</v>
      </c>
      <c r="I30" s="435">
        <f>SUM(I31+I35+I40+I50+I62+I56+I65)</f>
        <v>40120274</v>
      </c>
      <c r="J30" s="402">
        <f t="shared" si="0"/>
        <v>96.843301656231219</v>
      </c>
    </row>
    <row r="31" spans="1:10" ht="18.95" customHeight="1" x14ac:dyDescent="0.2">
      <c r="A31" s="403" t="s">
        <v>315</v>
      </c>
      <c r="B31" s="436"/>
      <c r="C31" s="437"/>
      <c r="D31" s="404" t="s">
        <v>355</v>
      </c>
      <c r="E31" s="438"/>
      <c r="F31" s="406" t="s">
        <v>356</v>
      </c>
      <c r="G31" s="439">
        <f>SUM(G32:G34)</f>
        <v>179423</v>
      </c>
      <c r="H31" s="439">
        <f>SUM(H32:H34)</f>
        <v>167729</v>
      </c>
      <c r="I31" s="439">
        <f>SUM(I32:I34)</f>
        <v>146379</v>
      </c>
      <c r="J31" s="408">
        <f t="shared" si="0"/>
        <v>87.271133793202125</v>
      </c>
    </row>
    <row r="32" spans="1:10" ht="18.95" customHeight="1" x14ac:dyDescent="0.2">
      <c r="A32" s="409" t="s">
        <v>315</v>
      </c>
      <c r="B32" s="436"/>
      <c r="C32" s="440"/>
      <c r="D32" s="441"/>
      <c r="E32" s="442">
        <v>631001</v>
      </c>
      <c r="F32" s="443" t="s">
        <v>357</v>
      </c>
      <c r="G32" s="444">
        <v>157563</v>
      </c>
      <c r="H32" s="444">
        <v>146839</v>
      </c>
      <c r="I32" s="444">
        <f>139353+57</f>
        <v>139410</v>
      </c>
      <c r="J32" s="416">
        <f t="shared" si="0"/>
        <v>94.940717384346115</v>
      </c>
    </row>
    <row r="33" spans="1:10" ht="18.95" customHeight="1" x14ac:dyDescent="0.2">
      <c r="A33" s="409" t="s">
        <v>315</v>
      </c>
      <c r="B33" s="436"/>
      <c r="C33" s="440"/>
      <c r="D33" s="441"/>
      <c r="E33" s="442">
        <v>631002</v>
      </c>
      <c r="F33" s="443" t="s">
        <v>358</v>
      </c>
      <c r="G33" s="444">
        <v>20000</v>
      </c>
      <c r="H33" s="444">
        <v>20000</v>
      </c>
      <c r="I33" s="444">
        <v>6259</v>
      </c>
      <c r="J33" s="416">
        <f t="shared" si="0"/>
        <v>31.295000000000002</v>
      </c>
    </row>
    <row r="34" spans="1:10" ht="18.95" customHeight="1" x14ac:dyDescent="0.2">
      <c r="A34" s="409" t="s">
        <v>315</v>
      </c>
      <c r="B34" s="436"/>
      <c r="C34" s="440"/>
      <c r="D34" s="441"/>
      <c r="E34" s="442">
        <v>631004</v>
      </c>
      <c r="F34" s="443" t="s">
        <v>359</v>
      </c>
      <c r="G34" s="444">
        <v>1860</v>
      </c>
      <c r="H34" s="444">
        <v>890</v>
      </c>
      <c r="I34" s="444">
        <v>710</v>
      </c>
      <c r="J34" s="416">
        <f t="shared" si="0"/>
        <v>79.775280898876403</v>
      </c>
    </row>
    <row r="35" spans="1:10" ht="18.95" customHeight="1" x14ac:dyDescent="0.2">
      <c r="A35" s="403" t="s">
        <v>315</v>
      </c>
      <c r="B35" s="436"/>
      <c r="C35" s="437"/>
      <c r="D35" s="404" t="s">
        <v>360</v>
      </c>
      <c r="E35" s="438"/>
      <c r="F35" s="406" t="s">
        <v>361</v>
      </c>
      <c r="G35" s="439">
        <f>SUM(G36:G39)</f>
        <v>9791567</v>
      </c>
      <c r="H35" s="439">
        <f>SUM(H36:H39)</f>
        <v>12111014</v>
      </c>
      <c r="I35" s="439">
        <f>SUM(I36:I39)</f>
        <v>11655704</v>
      </c>
      <c r="J35" s="408">
        <f t="shared" si="0"/>
        <v>96.24052948828232</v>
      </c>
    </row>
    <row r="36" spans="1:10" ht="18.95" customHeight="1" x14ac:dyDescent="0.2">
      <c r="A36" s="409" t="s">
        <v>315</v>
      </c>
      <c r="B36" s="436"/>
      <c r="C36" s="437"/>
      <c r="D36" s="445"/>
      <c r="E36" s="446">
        <v>632001</v>
      </c>
      <c r="F36" s="447" t="s">
        <v>362</v>
      </c>
      <c r="G36" s="444">
        <v>1821532</v>
      </c>
      <c r="H36" s="444">
        <v>1706924</v>
      </c>
      <c r="I36" s="444">
        <f>1434387+4451+12476</f>
        <v>1451314</v>
      </c>
      <c r="J36" s="416">
        <f t="shared" si="0"/>
        <v>85.025109495208923</v>
      </c>
    </row>
    <row r="37" spans="1:10" ht="18.95" customHeight="1" x14ac:dyDescent="0.2">
      <c r="A37" s="409" t="s">
        <v>315</v>
      </c>
      <c r="B37" s="436"/>
      <c r="C37" s="437"/>
      <c r="D37" s="445"/>
      <c r="E37" s="446">
        <v>632002</v>
      </c>
      <c r="F37" s="447" t="s">
        <v>363</v>
      </c>
      <c r="G37" s="444">
        <v>179261</v>
      </c>
      <c r="H37" s="444">
        <v>185589</v>
      </c>
      <c r="I37" s="444">
        <f>161096+724</f>
        <v>161820</v>
      </c>
      <c r="J37" s="416">
        <f t="shared" si="0"/>
        <v>87.192667668881242</v>
      </c>
    </row>
    <row r="38" spans="1:10" ht="18.95" customHeight="1" x14ac:dyDescent="0.2">
      <c r="A38" s="409" t="s">
        <v>315</v>
      </c>
      <c r="B38" s="436"/>
      <c r="C38" s="437"/>
      <c r="D38" s="445"/>
      <c r="E38" s="446">
        <v>632003</v>
      </c>
      <c r="F38" s="448" t="s">
        <v>364</v>
      </c>
      <c r="G38" s="444">
        <v>6449024</v>
      </c>
      <c r="H38" s="444">
        <v>8468369</v>
      </c>
      <c r="I38" s="444">
        <f>8184903+89038+18498</f>
        <v>8292439</v>
      </c>
      <c r="J38" s="416">
        <f t="shared" si="0"/>
        <v>97.922504321670445</v>
      </c>
    </row>
    <row r="39" spans="1:10" ht="18.95" customHeight="1" x14ac:dyDescent="0.2">
      <c r="A39" s="409" t="s">
        <v>315</v>
      </c>
      <c r="B39" s="436"/>
      <c r="C39" s="437"/>
      <c r="D39" s="445"/>
      <c r="E39" s="446">
        <v>632004</v>
      </c>
      <c r="F39" s="448" t="s">
        <v>365</v>
      </c>
      <c r="G39" s="444">
        <v>1341750</v>
      </c>
      <c r="H39" s="444">
        <v>1750132</v>
      </c>
      <c r="I39" s="444">
        <v>1750131</v>
      </c>
      <c r="J39" s="416">
        <f t="shared" si="0"/>
        <v>99.999942861452737</v>
      </c>
    </row>
    <row r="40" spans="1:10" ht="18.95" customHeight="1" x14ac:dyDescent="0.2">
      <c r="A40" s="403" t="s">
        <v>315</v>
      </c>
      <c r="B40" s="436"/>
      <c r="C40" s="437"/>
      <c r="D40" s="404" t="s">
        <v>366</v>
      </c>
      <c r="E40" s="438"/>
      <c r="F40" s="406" t="s">
        <v>367</v>
      </c>
      <c r="G40" s="439">
        <f>SUM(G41:G49)</f>
        <v>1515968</v>
      </c>
      <c r="H40" s="439">
        <f>SUM(H41:H49)</f>
        <v>2204342</v>
      </c>
      <c r="I40" s="439">
        <f>SUM(I41:I49)</f>
        <v>2078971</v>
      </c>
      <c r="J40" s="408">
        <f t="shared" si="0"/>
        <v>94.312543153467104</v>
      </c>
    </row>
    <row r="41" spans="1:10" ht="18.95" customHeight="1" x14ac:dyDescent="0.2">
      <c r="A41" s="409" t="s">
        <v>315</v>
      </c>
      <c r="B41" s="436"/>
      <c r="C41" s="437"/>
      <c r="D41" s="449"/>
      <c r="E41" s="450" t="s">
        <v>368</v>
      </c>
      <c r="F41" s="451" t="s">
        <v>369</v>
      </c>
      <c r="G41" s="427">
        <v>30430</v>
      </c>
      <c r="H41" s="427">
        <v>152160</v>
      </c>
      <c r="I41" s="427">
        <v>100326</v>
      </c>
      <c r="J41" s="416">
        <f t="shared" si="0"/>
        <v>65.934542586750794</v>
      </c>
    </row>
    <row r="42" spans="1:10" ht="18.95" customHeight="1" x14ac:dyDescent="0.2">
      <c r="A42" s="409" t="s">
        <v>315</v>
      </c>
      <c r="B42" s="436"/>
      <c r="C42" s="437"/>
      <c r="D42" s="449"/>
      <c r="E42" s="450" t="s">
        <v>370</v>
      </c>
      <c r="F42" s="451" t="s">
        <v>371</v>
      </c>
      <c r="G42" s="427">
        <v>60</v>
      </c>
      <c r="H42" s="427">
        <v>21188</v>
      </c>
      <c r="I42" s="427">
        <v>21099</v>
      </c>
      <c r="J42" s="416">
        <f t="shared" si="0"/>
        <v>99.579950915612613</v>
      </c>
    </row>
    <row r="43" spans="1:10" ht="18.95" customHeight="1" x14ac:dyDescent="0.2">
      <c r="A43" s="409" t="s">
        <v>315</v>
      </c>
      <c r="B43" s="436"/>
      <c r="C43" s="437"/>
      <c r="D43" s="449"/>
      <c r="E43" s="450" t="s">
        <v>372</v>
      </c>
      <c r="F43" s="451" t="s">
        <v>373</v>
      </c>
      <c r="G43" s="427">
        <v>607</v>
      </c>
      <c r="H43" s="427">
        <v>48471</v>
      </c>
      <c r="I43" s="427">
        <v>48303</v>
      </c>
      <c r="J43" s="416">
        <f t="shared" si="0"/>
        <v>99.653401002661397</v>
      </c>
    </row>
    <row r="44" spans="1:10" ht="18.95" customHeight="1" x14ac:dyDescent="0.2">
      <c r="A44" s="409" t="s">
        <v>315</v>
      </c>
      <c r="B44" s="436"/>
      <c r="C44" s="437"/>
      <c r="D44" s="449"/>
      <c r="E44" s="450" t="s">
        <v>374</v>
      </c>
      <c r="F44" s="451" t="s">
        <v>375</v>
      </c>
      <c r="G44" s="427">
        <v>6850</v>
      </c>
      <c r="H44" s="427">
        <v>17298</v>
      </c>
      <c r="I44" s="427">
        <v>10365</v>
      </c>
      <c r="J44" s="416">
        <f t="shared" si="0"/>
        <v>59.920221990981616</v>
      </c>
    </row>
    <row r="45" spans="1:10" ht="18.95" customHeight="1" x14ac:dyDescent="0.2">
      <c r="A45" s="409" t="s">
        <v>315</v>
      </c>
      <c r="B45" s="436"/>
      <c r="C45" s="437"/>
      <c r="D45" s="449"/>
      <c r="E45" s="450" t="s">
        <v>376</v>
      </c>
      <c r="F45" s="451" t="s">
        <v>377</v>
      </c>
      <c r="G45" s="427">
        <v>1416134</v>
      </c>
      <c r="H45" s="427">
        <v>1782101</v>
      </c>
      <c r="I45" s="427">
        <f>1700237+2881+28761</f>
        <v>1731879</v>
      </c>
      <c r="J45" s="416">
        <f t="shared" si="0"/>
        <v>97.181865674279962</v>
      </c>
    </row>
    <row r="46" spans="1:10" ht="18.95" customHeight="1" x14ac:dyDescent="0.2">
      <c r="A46" s="409" t="s">
        <v>315</v>
      </c>
      <c r="B46" s="436"/>
      <c r="C46" s="437"/>
      <c r="D46" s="449"/>
      <c r="E46" s="450" t="s">
        <v>378</v>
      </c>
      <c r="F46" s="451" t="s">
        <v>379</v>
      </c>
      <c r="G46" s="427">
        <v>13440</v>
      </c>
      <c r="H46" s="427">
        <v>14667</v>
      </c>
      <c r="I46" s="427">
        <f>8649+3399</f>
        <v>12048</v>
      </c>
      <c r="J46" s="416">
        <f t="shared" si="0"/>
        <v>82.143587645735323</v>
      </c>
    </row>
    <row r="47" spans="1:10" ht="18.95" customHeight="1" x14ac:dyDescent="0.2">
      <c r="A47" s="409" t="s">
        <v>315</v>
      </c>
      <c r="B47" s="436"/>
      <c r="C47" s="437"/>
      <c r="D47" s="449"/>
      <c r="E47" s="450" t="s">
        <v>380</v>
      </c>
      <c r="F47" s="451" t="s">
        <v>381</v>
      </c>
      <c r="G47" s="427">
        <v>19755</v>
      </c>
      <c r="H47" s="427">
        <v>25819</v>
      </c>
      <c r="I47" s="427">
        <v>17887</v>
      </c>
      <c r="J47" s="416">
        <f t="shared" si="0"/>
        <v>69.278438359347774</v>
      </c>
    </row>
    <row r="48" spans="1:10" ht="18.95" customHeight="1" x14ac:dyDescent="0.2">
      <c r="A48" s="409" t="s">
        <v>315</v>
      </c>
      <c r="B48" s="436"/>
      <c r="C48" s="437"/>
      <c r="D48" s="449"/>
      <c r="E48" s="450" t="s">
        <v>382</v>
      </c>
      <c r="F48" s="451" t="s">
        <v>383</v>
      </c>
      <c r="G48" s="427">
        <v>10000</v>
      </c>
      <c r="H48" s="427">
        <v>124079</v>
      </c>
      <c r="I48" s="427">
        <v>124079</v>
      </c>
      <c r="J48" s="416">
        <f t="shared" si="0"/>
        <v>100</v>
      </c>
    </row>
    <row r="49" spans="1:10" ht="18.95" customHeight="1" x14ac:dyDescent="0.2">
      <c r="A49" s="409" t="s">
        <v>315</v>
      </c>
      <c r="B49" s="436"/>
      <c r="C49" s="437"/>
      <c r="D49" s="449"/>
      <c r="E49" s="450" t="s">
        <v>384</v>
      </c>
      <c r="F49" s="451" t="s">
        <v>385</v>
      </c>
      <c r="G49" s="427">
        <v>18692</v>
      </c>
      <c r="H49" s="427">
        <v>18559</v>
      </c>
      <c r="I49" s="427">
        <v>12985</v>
      </c>
      <c r="J49" s="416">
        <f t="shared" si="0"/>
        <v>69.966054205506765</v>
      </c>
    </row>
    <row r="50" spans="1:10" ht="18.95" customHeight="1" x14ac:dyDescent="0.2">
      <c r="A50" s="403" t="s">
        <v>315</v>
      </c>
      <c r="B50" s="436"/>
      <c r="C50" s="437"/>
      <c r="D50" s="404" t="s">
        <v>386</v>
      </c>
      <c r="E50" s="438"/>
      <c r="F50" s="406" t="s">
        <v>387</v>
      </c>
      <c r="G50" s="439">
        <f>SUM(G51:G55)</f>
        <v>367868</v>
      </c>
      <c r="H50" s="439">
        <f>SUM(H51:H55)</f>
        <v>413523</v>
      </c>
      <c r="I50" s="439">
        <f>SUM(I51:I55)</f>
        <v>360364</v>
      </c>
      <c r="J50" s="408">
        <f t="shared" si="0"/>
        <v>87.144850467809533</v>
      </c>
    </row>
    <row r="51" spans="1:10" ht="18.95" customHeight="1" x14ac:dyDescent="0.2">
      <c r="A51" s="409" t="s">
        <v>315</v>
      </c>
      <c r="B51" s="436"/>
      <c r="C51" s="437"/>
      <c r="D51" s="445"/>
      <c r="E51" s="446">
        <v>634001</v>
      </c>
      <c r="F51" s="452" t="s">
        <v>388</v>
      </c>
      <c r="G51" s="444">
        <v>238990</v>
      </c>
      <c r="H51" s="444">
        <v>220243</v>
      </c>
      <c r="I51" s="444">
        <f>189439+319-798</f>
        <v>188960</v>
      </c>
      <c r="J51" s="416">
        <f t="shared" si="0"/>
        <v>85.796143350753482</v>
      </c>
    </row>
    <row r="52" spans="1:10" ht="18.95" customHeight="1" x14ac:dyDescent="0.2">
      <c r="A52" s="409" t="s">
        <v>315</v>
      </c>
      <c r="B52" s="436"/>
      <c r="C52" s="437"/>
      <c r="D52" s="445"/>
      <c r="E52" s="446">
        <v>634002</v>
      </c>
      <c r="F52" s="452" t="s">
        <v>389</v>
      </c>
      <c r="G52" s="444">
        <v>62480</v>
      </c>
      <c r="H52" s="444">
        <v>99832</v>
      </c>
      <c r="I52" s="444">
        <f>90406+296</f>
        <v>90702</v>
      </c>
      <c r="J52" s="416">
        <f t="shared" si="0"/>
        <v>90.854635788124057</v>
      </c>
    </row>
    <row r="53" spans="1:10" ht="18.95" customHeight="1" x14ac:dyDescent="0.2">
      <c r="A53" s="409" t="s">
        <v>315</v>
      </c>
      <c r="B53" s="436"/>
      <c r="C53" s="437"/>
      <c r="D53" s="453"/>
      <c r="E53" s="454" t="s">
        <v>390</v>
      </c>
      <c r="F53" s="451" t="s">
        <v>391</v>
      </c>
      <c r="G53" s="444">
        <v>58416</v>
      </c>
      <c r="H53" s="444">
        <v>64058</v>
      </c>
      <c r="I53" s="444">
        <f>60422+81</f>
        <v>60503</v>
      </c>
      <c r="J53" s="416">
        <f t="shared" si="0"/>
        <v>94.450341877673367</v>
      </c>
    </row>
    <row r="54" spans="1:10" ht="18.95" customHeight="1" x14ac:dyDescent="0.2">
      <c r="A54" s="409" t="s">
        <v>315</v>
      </c>
      <c r="B54" s="436"/>
      <c r="C54" s="437"/>
      <c r="D54" s="453"/>
      <c r="E54" s="446">
        <v>634004</v>
      </c>
      <c r="F54" s="455" t="s">
        <v>392</v>
      </c>
      <c r="G54" s="444">
        <v>805</v>
      </c>
      <c r="H54" s="444">
        <v>22613</v>
      </c>
      <c r="I54" s="444">
        <v>14167</v>
      </c>
      <c r="J54" s="416">
        <f t="shared" si="0"/>
        <v>62.649803210542608</v>
      </c>
    </row>
    <row r="55" spans="1:10" ht="18.95" customHeight="1" x14ac:dyDescent="0.2">
      <c r="A55" s="409" t="s">
        <v>315</v>
      </c>
      <c r="B55" s="436"/>
      <c r="C55" s="437"/>
      <c r="D55" s="453"/>
      <c r="E55" s="446">
        <v>634005</v>
      </c>
      <c r="F55" s="455" t="s">
        <v>393</v>
      </c>
      <c r="G55" s="444">
        <v>7177</v>
      </c>
      <c r="H55" s="444">
        <v>6777</v>
      </c>
      <c r="I55" s="444">
        <v>6032</v>
      </c>
      <c r="J55" s="416">
        <f t="shared" si="0"/>
        <v>89.006935222074674</v>
      </c>
    </row>
    <row r="56" spans="1:10" ht="18.95" customHeight="1" x14ac:dyDescent="0.2">
      <c r="A56" s="403" t="s">
        <v>315</v>
      </c>
      <c r="B56" s="436"/>
      <c r="C56" s="437"/>
      <c r="D56" s="404" t="s">
        <v>394</v>
      </c>
      <c r="E56" s="456"/>
      <c r="F56" s="406" t="s">
        <v>395</v>
      </c>
      <c r="G56" s="439">
        <f>SUM(G57:G61)</f>
        <v>9922402</v>
      </c>
      <c r="H56" s="439">
        <f>SUM(H57:H61)</f>
        <v>15302944</v>
      </c>
      <c r="I56" s="439">
        <f>SUM(I57:I61)</f>
        <v>15164409</v>
      </c>
      <c r="J56" s="408">
        <f t="shared" si="0"/>
        <v>99.094716676738798</v>
      </c>
    </row>
    <row r="57" spans="1:10" ht="18.95" customHeight="1" x14ac:dyDescent="0.2">
      <c r="A57" s="409" t="s">
        <v>315</v>
      </c>
      <c r="B57" s="436"/>
      <c r="C57" s="437"/>
      <c r="D57" s="445"/>
      <c r="E57" s="446">
        <v>635001</v>
      </c>
      <c r="F57" s="455" t="s">
        <v>396</v>
      </c>
      <c r="G57" s="444">
        <v>15703</v>
      </c>
      <c r="H57" s="444">
        <v>17638</v>
      </c>
      <c r="I57" s="444">
        <v>15416</v>
      </c>
      <c r="J57" s="457">
        <f t="shared" si="0"/>
        <v>87.402199795895228</v>
      </c>
    </row>
    <row r="58" spans="1:10" ht="18.95" customHeight="1" x14ac:dyDescent="0.2">
      <c r="A58" s="409" t="s">
        <v>315</v>
      </c>
      <c r="B58" s="436"/>
      <c r="C58" s="437"/>
      <c r="D58" s="445"/>
      <c r="E58" s="446">
        <v>635002</v>
      </c>
      <c r="F58" s="455" t="s">
        <v>397</v>
      </c>
      <c r="G58" s="444">
        <v>9738845</v>
      </c>
      <c r="H58" s="444">
        <v>14835096</v>
      </c>
      <c r="I58" s="444">
        <f>14461210+342486</f>
        <v>14803696</v>
      </c>
      <c r="J58" s="457">
        <f t="shared" si="0"/>
        <v>99.788339758637221</v>
      </c>
    </row>
    <row r="59" spans="1:10" ht="18.95" customHeight="1" x14ac:dyDescent="0.2">
      <c r="A59" s="409" t="s">
        <v>315</v>
      </c>
      <c r="B59" s="436"/>
      <c r="C59" s="437"/>
      <c r="D59" s="445"/>
      <c r="E59" s="446">
        <v>635003</v>
      </c>
      <c r="F59" s="455" t="s">
        <v>398</v>
      </c>
      <c r="G59" s="444">
        <v>2250</v>
      </c>
      <c r="H59" s="444">
        <v>3000</v>
      </c>
      <c r="I59" s="444">
        <v>1665</v>
      </c>
      <c r="J59" s="457">
        <f t="shared" si="0"/>
        <v>55.500000000000007</v>
      </c>
    </row>
    <row r="60" spans="1:10" ht="18.95" customHeight="1" x14ac:dyDescent="0.2">
      <c r="A60" s="409" t="s">
        <v>315</v>
      </c>
      <c r="B60" s="436"/>
      <c r="C60" s="437"/>
      <c r="D60" s="445"/>
      <c r="E60" s="446">
        <v>635004</v>
      </c>
      <c r="F60" s="455" t="s">
        <v>399</v>
      </c>
      <c r="G60" s="444">
        <v>83451</v>
      </c>
      <c r="H60" s="444">
        <v>151660</v>
      </c>
      <c r="I60" s="444">
        <v>114958</v>
      </c>
      <c r="J60" s="457">
        <f t="shared" si="0"/>
        <v>75.799815376500064</v>
      </c>
    </row>
    <row r="61" spans="1:10" ht="18.95" customHeight="1" x14ac:dyDescent="0.2">
      <c r="A61" s="409" t="s">
        <v>315</v>
      </c>
      <c r="B61" s="436"/>
      <c r="C61" s="437"/>
      <c r="D61" s="445"/>
      <c r="E61" s="446">
        <v>635006</v>
      </c>
      <c r="F61" s="452" t="s">
        <v>400</v>
      </c>
      <c r="G61" s="444">
        <v>82153</v>
      </c>
      <c r="H61" s="444">
        <v>295550</v>
      </c>
      <c r="I61" s="444">
        <f>228279+395</f>
        <v>228674</v>
      </c>
      <c r="J61" s="457">
        <f t="shared" si="0"/>
        <v>77.372356623244798</v>
      </c>
    </row>
    <row r="62" spans="1:10" ht="18.95" customHeight="1" x14ac:dyDescent="0.2">
      <c r="A62" s="403" t="s">
        <v>315</v>
      </c>
      <c r="B62" s="436"/>
      <c r="C62" s="437"/>
      <c r="D62" s="404" t="s">
        <v>401</v>
      </c>
      <c r="E62" s="438"/>
      <c r="F62" s="406" t="s">
        <v>402</v>
      </c>
      <c r="G62" s="439">
        <f>SUM(G63:G64)</f>
        <v>1999969</v>
      </c>
      <c r="H62" s="439">
        <f>SUM(H63:H64)</f>
        <v>2390772</v>
      </c>
      <c r="I62" s="439">
        <f>SUM(I63:I64)</f>
        <v>2363273</v>
      </c>
      <c r="J62" s="408">
        <f t="shared" si="0"/>
        <v>98.849785759578907</v>
      </c>
    </row>
    <row r="63" spans="1:10" ht="18.95" customHeight="1" x14ac:dyDescent="0.2">
      <c r="A63" s="409" t="s">
        <v>315</v>
      </c>
      <c r="B63" s="436"/>
      <c r="C63" s="437"/>
      <c r="D63" s="458"/>
      <c r="E63" s="446">
        <v>636001</v>
      </c>
      <c r="F63" s="459" t="s">
        <v>403</v>
      </c>
      <c r="G63" s="444">
        <v>1984955</v>
      </c>
      <c r="H63" s="444">
        <v>2375141</v>
      </c>
      <c r="I63" s="444">
        <f>2327925+20520</f>
        <v>2348445</v>
      </c>
      <c r="J63" s="416">
        <f t="shared" si="0"/>
        <v>98.87602462338026</v>
      </c>
    </row>
    <row r="64" spans="1:10" ht="18" customHeight="1" x14ac:dyDescent="0.2">
      <c r="A64" s="409" t="s">
        <v>315</v>
      </c>
      <c r="B64" s="436"/>
      <c r="C64" s="437"/>
      <c r="D64" s="458"/>
      <c r="E64" s="446">
        <v>636002</v>
      </c>
      <c r="F64" s="459" t="s">
        <v>404</v>
      </c>
      <c r="G64" s="444">
        <v>15014</v>
      </c>
      <c r="H64" s="444">
        <v>15631</v>
      </c>
      <c r="I64" s="444">
        <v>14828</v>
      </c>
      <c r="J64" s="416">
        <f t="shared" si="0"/>
        <v>94.862772695285017</v>
      </c>
    </row>
    <row r="65" spans="1:11" ht="18.95" customHeight="1" x14ac:dyDescent="0.2">
      <c r="A65" s="403" t="s">
        <v>315</v>
      </c>
      <c r="B65" s="436"/>
      <c r="C65" s="437"/>
      <c r="D65" s="404" t="s">
        <v>405</v>
      </c>
      <c r="E65" s="438"/>
      <c r="F65" s="406" t="s">
        <v>406</v>
      </c>
      <c r="G65" s="439">
        <f>SUM(G66:G82)</f>
        <v>6467531</v>
      </c>
      <c r="H65" s="439">
        <f>SUM(H66:H82)</f>
        <v>8837708</v>
      </c>
      <c r="I65" s="460">
        <f>SUM(I66:I82)</f>
        <v>8351174</v>
      </c>
      <c r="J65" s="408">
        <f t="shared" si="0"/>
        <v>94.494794351657703</v>
      </c>
    </row>
    <row r="66" spans="1:11" ht="18.95" customHeight="1" x14ac:dyDescent="0.2">
      <c r="A66" s="409" t="s">
        <v>315</v>
      </c>
      <c r="B66" s="436"/>
      <c r="C66" s="437"/>
      <c r="D66" s="449"/>
      <c r="E66" s="450" t="s">
        <v>407</v>
      </c>
      <c r="F66" s="451" t="s">
        <v>408</v>
      </c>
      <c r="G66" s="444">
        <v>29874</v>
      </c>
      <c r="H66" s="444">
        <v>41606</v>
      </c>
      <c r="I66" s="444">
        <v>28694</v>
      </c>
      <c r="J66" s="457">
        <f t="shared" si="0"/>
        <v>68.966014517136955</v>
      </c>
    </row>
    <row r="67" spans="1:11" ht="18.95" customHeight="1" x14ac:dyDescent="0.2">
      <c r="A67" s="409" t="s">
        <v>315</v>
      </c>
      <c r="B67" s="436"/>
      <c r="C67" s="437"/>
      <c r="D67" s="449"/>
      <c r="E67" s="450" t="s">
        <v>409</v>
      </c>
      <c r="F67" s="451" t="s">
        <v>410</v>
      </c>
      <c r="G67" s="444">
        <v>7980</v>
      </c>
      <c r="H67" s="444">
        <v>8850</v>
      </c>
      <c r="I67" s="444">
        <v>6767</v>
      </c>
      <c r="J67" s="457">
        <f t="shared" si="0"/>
        <v>76.463276836158187</v>
      </c>
    </row>
    <row r="68" spans="1:11" ht="18.95" customHeight="1" x14ac:dyDescent="0.2">
      <c r="A68" s="409" t="s">
        <v>315</v>
      </c>
      <c r="B68" s="436"/>
      <c r="C68" s="437"/>
      <c r="D68" s="449"/>
      <c r="E68" s="450" t="s">
        <v>411</v>
      </c>
      <c r="F68" s="451" t="s">
        <v>412</v>
      </c>
      <c r="G68" s="444">
        <v>1112333</v>
      </c>
      <c r="H68" s="444">
        <v>1564827</v>
      </c>
      <c r="I68" s="444">
        <f>1158366+187942+100</f>
        <v>1346408</v>
      </c>
      <c r="J68" s="457">
        <f t="shared" si="0"/>
        <v>86.04197141281432</v>
      </c>
    </row>
    <row r="69" spans="1:11" ht="18.95" customHeight="1" x14ac:dyDescent="0.2">
      <c r="A69" s="409" t="s">
        <v>315</v>
      </c>
      <c r="B69" s="436"/>
      <c r="C69" s="437"/>
      <c r="D69" s="449"/>
      <c r="E69" s="450" t="s">
        <v>413</v>
      </c>
      <c r="F69" s="451" t="s">
        <v>414</v>
      </c>
      <c r="G69" s="444">
        <v>1198233</v>
      </c>
      <c r="H69" s="444">
        <v>1381511</v>
      </c>
      <c r="I69" s="444">
        <f>1337152+44</f>
        <v>1337196</v>
      </c>
      <c r="J69" s="457">
        <f t="shared" si="0"/>
        <v>96.792280336530084</v>
      </c>
    </row>
    <row r="70" spans="1:11" ht="18.95" customHeight="1" x14ac:dyDescent="0.2">
      <c r="A70" s="409" t="s">
        <v>315</v>
      </c>
      <c r="B70" s="436"/>
      <c r="C70" s="437"/>
      <c r="D70" s="449"/>
      <c r="E70" s="450" t="s">
        <v>415</v>
      </c>
      <c r="F70" s="451" t="s">
        <v>356</v>
      </c>
      <c r="G70" s="444">
        <v>632</v>
      </c>
      <c r="H70" s="444">
        <v>462</v>
      </c>
      <c r="I70" s="444">
        <v>192</v>
      </c>
      <c r="J70" s="457">
        <f t="shared" si="0"/>
        <v>41.558441558441558</v>
      </c>
    </row>
    <row r="71" spans="1:11" ht="18.95" customHeight="1" x14ac:dyDescent="0.2">
      <c r="A71" s="409" t="s">
        <v>315</v>
      </c>
      <c r="B71" s="436"/>
      <c r="C71" s="437"/>
      <c r="D71" s="449"/>
      <c r="E71" s="450" t="s">
        <v>416</v>
      </c>
      <c r="F71" s="451" t="s">
        <v>417</v>
      </c>
      <c r="G71" s="444">
        <v>11229</v>
      </c>
      <c r="H71" s="444">
        <v>62807</v>
      </c>
      <c r="I71" s="444">
        <v>35895</v>
      </c>
      <c r="J71" s="457">
        <f t="shared" si="0"/>
        <v>57.151272947282948</v>
      </c>
    </row>
    <row r="72" spans="1:11" ht="18.95" customHeight="1" x14ac:dyDescent="0.2">
      <c r="A72" s="409" t="s">
        <v>315</v>
      </c>
      <c r="B72" s="436"/>
      <c r="C72" s="437"/>
      <c r="D72" s="449"/>
      <c r="E72" s="450" t="s">
        <v>418</v>
      </c>
      <c r="F72" s="451" t="s">
        <v>419</v>
      </c>
      <c r="G72" s="444">
        <v>956410</v>
      </c>
      <c r="H72" s="444">
        <v>1501628</v>
      </c>
      <c r="I72" s="444">
        <f>1433910+36825</f>
        <v>1470735</v>
      </c>
      <c r="J72" s="457">
        <f t="shared" si="0"/>
        <v>97.942699523450543</v>
      </c>
    </row>
    <row r="73" spans="1:11" ht="18.95" customHeight="1" x14ac:dyDescent="0.2">
      <c r="A73" s="409" t="s">
        <v>315</v>
      </c>
      <c r="B73" s="436"/>
      <c r="C73" s="437"/>
      <c r="D73" s="449"/>
      <c r="E73" s="450" t="s">
        <v>420</v>
      </c>
      <c r="F73" s="451" t="s">
        <v>421</v>
      </c>
      <c r="G73" s="444">
        <v>1549591</v>
      </c>
      <c r="H73" s="444">
        <v>1776782</v>
      </c>
      <c r="I73" s="444">
        <f>1633679+21997+112264</f>
        <v>1767940</v>
      </c>
      <c r="J73" s="457">
        <f t="shared" si="0"/>
        <v>99.502358758699714</v>
      </c>
    </row>
    <row r="74" spans="1:11" ht="18.95" customHeight="1" x14ac:dyDescent="0.2">
      <c r="A74" s="409" t="s">
        <v>315</v>
      </c>
      <c r="B74" s="436"/>
      <c r="C74" s="437"/>
      <c r="D74" s="449"/>
      <c r="E74" s="450" t="s">
        <v>422</v>
      </c>
      <c r="F74" s="451" t="s">
        <v>423</v>
      </c>
      <c r="G74" s="444">
        <v>16863</v>
      </c>
      <c r="H74" s="444">
        <v>16977</v>
      </c>
      <c r="I74" s="444">
        <f>14723+623+1157</f>
        <v>16503</v>
      </c>
      <c r="J74" s="457">
        <f t="shared" ref="J74:J91" si="1">SUM($I74/H74)*100</f>
        <v>97.207987276904049</v>
      </c>
    </row>
    <row r="75" spans="1:11" ht="18.95" customHeight="1" x14ac:dyDescent="0.2">
      <c r="A75" s="409" t="s">
        <v>315</v>
      </c>
      <c r="B75" s="436"/>
      <c r="C75" s="437"/>
      <c r="D75" s="449"/>
      <c r="E75" s="450" t="s">
        <v>424</v>
      </c>
      <c r="F75" s="451" t="s">
        <v>425</v>
      </c>
      <c r="G75" s="444">
        <v>687645</v>
      </c>
      <c r="H75" s="444">
        <v>728101</v>
      </c>
      <c r="I75" s="461">
        <f>713576+2421</f>
        <v>715997</v>
      </c>
      <c r="J75" s="457">
        <f t="shared" si="1"/>
        <v>98.337593273460683</v>
      </c>
    </row>
    <row r="76" spans="1:11" ht="18.95" customHeight="1" x14ac:dyDescent="0.2">
      <c r="A76" s="409" t="s">
        <v>315</v>
      </c>
      <c r="B76" s="436"/>
      <c r="C76" s="437"/>
      <c r="D76" s="449"/>
      <c r="E76" s="450" t="s">
        <v>426</v>
      </c>
      <c r="F76" s="451" t="s">
        <v>427</v>
      </c>
      <c r="G76" s="444">
        <v>8250</v>
      </c>
      <c r="H76" s="444">
        <v>18253</v>
      </c>
      <c r="I76" s="444">
        <v>15466</v>
      </c>
      <c r="J76" s="457">
        <f t="shared" si="1"/>
        <v>84.731277050347884</v>
      </c>
    </row>
    <row r="77" spans="1:11" ht="18.95" customHeight="1" x14ac:dyDescent="0.2">
      <c r="A77" s="409" t="s">
        <v>315</v>
      </c>
      <c r="B77" s="436"/>
      <c r="C77" s="437"/>
      <c r="D77" s="449"/>
      <c r="E77" s="450" t="s">
        <v>428</v>
      </c>
      <c r="F77" s="451" t="s">
        <v>429</v>
      </c>
      <c r="G77" s="444">
        <v>89685</v>
      </c>
      <c r="H77" s="444">
        <v>90735</v>
      </c>
      <c r="I77" s="444">
        <v>87704</v>
      </c>
      <c r="J77" s="457">
        <f t="shared" si="1"/>
        <v>96.6595029481457</v>
      </c>
    </row>
    <row r="78" spans="1:11" ht="18.95" customHeight="1" x14ac:dyDescent="0.2">
      <c r="A78" s="409" t="s">
        <v>315</v>
      </c>
      <c r="B78" s="436"/>
      <c r="C78" s="437"/>
      <c r="D78" s="449"/>
      <c r="E78" s="450" t="s">
        <v>430</v>
      </c>
      <c r="F78" s="451" t="s">
        <v>431</v>
      </c>
      <c r="G78" s="444">
        <v>71486</v>
      </c>
      <c r="H78" s="444">
        <v>115146</v>
      </c>
      <c r="I78" s="444">
        <v>107027</v>
      </c>
      <c r="J78" s="457">
        <f t="shared" si="1"/>
        <v>92.948951765584567</v>
      </c>
    </row>
    <row r="79" spans="1:11" ht="18.95" customHeight="1" x14ac:dyDescent="0.2">
      <c r="A79" s="409" t="s">
        <v>432</v>
      </c>
      <c r="B79" s="436"/>
      <c r="C79" s="437"/>
      <c r="D79" s="449"/>
      <c r="E79" s="450" t="s">
        <v>433</v>
      </c>
      <c r="F79" s="451" t="s">
        <v>434</v>
      </c>
      <c r="G79" s="444">
        <v>0</v>
      </c>
      <c r="H79" s="444">
        <v>89297</v>
      </c>
      <c r="I79" s="444">
        <v>89296</v>
      </c>
      <c r="J79" s="457">
        <f t="shared" si="1"/>
        <v>99.998880141550103</v>
      </c>
    </row>
    <row r="80" spans="1:11" s="462" customFormat="1" ht="18.75" customHeight="1" x14ac:dyDescent="0.2">
      <c r="A80" s="409" t="s">
        <v>315</v>
      </c>
      <c r="B80" s="436"/>
      <c r="C80" s="437"/>
      <c r="D80" s="449"/>
      <c r="E80" s="450" t="s">
        <v>435</v>
      </c>
      <c r="F80" s="451" t="s">
        <v>436</v>
      </c>
      <c r="G80" s="444">
        <v>70000</v>
      </c>
      <c r="H80" s="444">
        <v>214893</v>
      </c>
      <c r="I80" s="444">
        <v>191288</v>
      </c>
      <c r="J80" s="457">
        <f t="shared" si="1"/>
        <v>89.015463509746709</v>
      </c>
      <c r="K80" s="343"/>
    </row>
    <row r="81" spans="1:11" s="462" customFormat="1" ht="18.95" customHeight="1" x14ac:dyDescent="0.2">
      <c r="A81" s="409" t="s">
        <v>315</v>
      </c>
      <c r="B81" s="436"/>
      <c r="C81" s="437"/>
      <c r="D81" s="449"/>
      <c r="E81" s="450" t="s">
        <v>437</v>
      </c>
      <c r="F81" s="451" t="s">
        <v>438</v>
      </c>
      <c r="G81" s="444">
        <v>550300</v>
      </c>
      <c r="H81" s="444">
        <v>1120300</v>
      </c>
      <c r="I81" s="444">
        <v>1031173</v>
      </c>
      <c r="J81" s="457">
        <f t="shared" si="1"/>
        <v>92.044363117022215</v>
      </c>
      <c r="K81" s="343"/>
    </row>
    <row r="82" spans="1:11" s="462" customFormat="1" ht="18.95" customHeight="1" x14ac:dyDescent="0.2">
      <c r="A82" s="409" t="s">
        <v>315</v>
      </c>
      <c r="B82" s="436"/>
      <c r="C82" s="437"/>
      <c r="D82" s="449"/>
      <c r="E82" s="450" t="s">
        <v>439</v>
      </c>
      <c r="F82" s="451" t="s">
        <v>440</v>
      </c>
      <c r="G82" s="444">
        <v>107020</v>
      </c>
      <c r="H82" s="444">
        <v>105533</v>
      </c>
      <c r="I82" s="444">
        <v>102893</v>
      </c>
      <c r="J82" s="457">
        <f t="shared" si="1"/>
        <v>97.498412818739169</v>
      </c>
      <c r="K82" s="343"/>
    </row>
    <row r="83" spans="1:11" s="462" customFormat="1" ht="18.95" customHeight="1" x14ac:dyDescent="0.25">
      <c r="A83" s="396" t="s">
        <v>315</v>
      </c>
      <c r="B83" s="417"/>
      <c r="C83" s="432" t="s">
        <v>441</v>
      </c>
      <c r="D83" s="418"/>
      <c r="E83" s="433"/>
      <c r="F83" s="420" t="s">
        <v>442</v>
      </c>
      <c r="G83" s="463">
        <f>SUM(G84+G90)</f>
        <v>679000</v>
      </c>
      <c r="H83" s="463">
        <f>SUM(H84+H90)</f>
        <v>873273</v>
      </c>
      <c r="I83" s="463">
        <f>SUM(I84+I90)</f>
        <v>734811</v>
      </c>
      <c r="J83" s="402">
        <f t="shared" si="1"/>
        <v>84.144477156628</v>
      </c>
      <c r="K83" s="343"/>
    </row>
    <row r="84" spans="1:11" s="462" customFormat="1" ht="18.95" customHeight="1" x14ac:dyDescent="0.2">
      <c r="A84" s="403" t="s">
        <v>315</v>
      </c>
      <c r="B84" s="436"/>
      <c r="C84" s="437"/>
      <c r="D84" s="404" t="s">
        <v>443</v>
      </c>
      <c r="E84" s="438"/>
      <c r="F84" s="406" t="s">
        <v>444</v>
      </c>
      <c r="G84" s="439">
        <f>SUM(G85:G89)</f>
        <v>637000</v>
      </c>
      <c r="H84" s="439">
        <f>SUM(H85:H89)</f>
        <v>831273</v>
      </c>
      <c r="I84" s="439">
        <f>SUM(I85:I89)</f>
        <v>693879</v>
      </c>
      <c r="J84" s="408">
        <f t="shared" si="1"/>
        <v>83.471855816320272</v>
      </c>
      <c r="K84" s="343"/>
    </row>
    <row r="85" spans="1:11" s="462" customFormat="1" ht="18.95" customHeight="1" x14ac:dyDescent="0.2">
      <c r="A85" s="409" t="s">
        <v>315</v>
      </c>
      <c r="B85" s="436"/>
      <c r="C85" s="437"/>
      <c r="D85" s="449"/>
      <c r="E85" s="450" t="s">
        <v>445</v>
      </c>
      <c r="F85" s="451" t="s">
        <v>446</v>
      </c>
      <c r="G85" s="444">
        <v>100000</v>
      </c>
      <c r="H85" s="444">
        <v>153802</v>
      </c>
      <c r="I85" s="461">
        <v>108462</v>
      </c>
      <c r="J85" s="416">
        <f t="shared" si="1"/>
        <v>70.52053939480632</v>
      </c>
      <c r="K85" s="343"/>
    </row>
    <row r="86" spans="1:11" s="462" customFormat="1" ht="18.95" customHeight="1" x14ac:dyDescent="0.2">
      <c r="A86" s="409" t="s">
        <v>315</v>
      </c>
      <c r="B86" s="436"/>
      <c r="C86" s="437"/>
      <c r="D86" s="449"/>
      <c r="E86" s="450" t="s">
        <v>447</v>
      </c>
      <c r="F86" s="451" t="s">
        <v>448</v>
      </c>
      <c r="G86" s="444">
        <v>168000</v>
      </c>
      <c r="H86" s="444">
        <v>306727</v>
      </c>
      <c r="I86" s="461">
        <v>267847</v>
      </c>
      <c r="J86" s="416">
        <f t="shared" si="1"/>
        <v>87.324232949821834</v>
      </c>
      <c r="K86" s="343"/>
    </row>
    <row r="87" spans="1:11" s="462" customFormat="1" ht="18.95" customHeight="1" x14ac:dyDescent="0.2">
      <c r="A87" s="409" t="s">
        <v>315</v>
      </c>
      <c r="B87" s="436"/>
      <c r="C87" s="437"/>
      <c r="D87" s="449"/>
      <c r="E87" s="450" t="s">
        <v>449</v>
      </c>
      <c r="F87" s="451" t="s">
        <v>450</v>
      </c>
      <c r="G87" s="444">
        <v>21739</v>
      </c>
      <c r="H87" s="444">
        <v>21702</v>
      </c>
      <c r="I87" s="461">
        <v>15572</v>
      </c>
      <c r="J87" s="416">
        <f t="shared" si="1"/>
        <v>71.753755414247536</v>
      </c>
      <c r="K87" s="343"/>
    </row>
    <row r="88" spans="1:11" s="462" customFormat="1" ht="18.75" customHeight="1" x14ac:dyDescent="0.2">
      <c r="A88" s="409" t="s">
        <v>315</v>
      </c>
      <c r="B88" s="436"/>
      <c r="C88" s="437"/>
      <c r="D88" s="449"/>
      <c r="E88" s="450" t="s">
        <v>451</v>
      </c>
      <c r="F88" s="451" t="s">
        <v>452</v>
      </c>
      <c r="G88" s="444">
        <v>347261</v>
      </c>
      <c r="H88" s="444">
        <v>349042</v>
      </c>
      <c r="I88" s="461">
        <v>301998</v>
      </c>
      <c r="J88" s="416">
        <f t="shared" si="1"/>
        <v>86.521965837922082</v>
      </c>
      <c r="K88" s="343"/>
    </row>
    <row r="89" spans="1:11" s="462" customFormat="1" ht="18.95" hidden="1" customHeight="1" x14ac:dyDescent="0.2">
      <c r="A89" s="409" t="s">
        <v>315</v>
      </c>
      <c r="B89" s="436"/>
      <c r="C89" s="437"/>
      <c r="D89" s="449"/>
      <c r="E89" s="450" t="s">
        <v>453</v>
      </c>
      <c r="F89" s="451" t="s">
        <v>454</v>
      </c>
      <c r="G89" s="444">
        <v>0</v>
      </c>
      <c r="H89" s="444">
        <v>0</v>
      </c>
      <c r="I89" s="444">
        <v>0</v>
      </c>
      <c r="J89" s="416" t="e">
        <f t="shared" si="1"/>
        <v>#DIV/0!</v>
      </c>
      <c r="K89" s="343"/>
    </row>
    <row r="90" spans="1:11" s="462" customFormat="1" ht="18.95" customHeight="1" x14ac:dyDescent="0.2">
      <c r="A90" s="403" t="s">
        <v>315</v>
      </c>
      <c r="B90" s="436"/>
      <c r="C90" s="437"/>
      <c r="D90" s="404" t="s">
        <v>455</v>
      </c>
      <c r="E90" s="450"/>
      <c r="F90" s="406" t="s">
        <v>456</v>
      </c>
      <c r="G90" s="439">
        <f>SUM(G91)</f>
        <v>42000</v>
      </c>
      <c r="H90" s="439">
        <f>SUM(H91)</f>
        <v>42000</v>
      </c>
      <c r="I90" s="439">
        <f>SUM(I91)</f>
        <v>40932</v>
      </c>
      <c r="J90" s="408">
        <f t="shared" si="1"/>
        <v>97.457142857142856</v>
      </c>
      <c r="K90" s="343"/>
    </row>
    <row r="91" spans="1:11" s="462" customFormat="1" ht="18.95" customHeight="1" x14ac:dyDescent="0.2">
      <c r="A91" s="409" t="s">
        <v>315</v>
      </c>
      <c r="B91" s="436"/>
      <c r="C91" s="437"/>
      <c r="D91" s="449"/>
      <c r="E91" s="450" t="s">
        <v>457</v>
      </c>
      <c r="F91" s="451" t="s">
        <v>458</v>
      </c>
      <c r="G91" s="444">
        <v>42000</v>
      </c>
      <c r="H91" s="444">
        <v>42000</v>
      </c>
      <c r="I91" s="444">
        <v>40932</v>
      </c>
      <c r="J91" s="416">
        <f t="shared" si="1"/>
        <v>97.457142857142856</v>
      </c>
      <c r="K91" s="343"/>
    </row>
    <row r="92" spans="1:11" s="472" customFormat="1" ht="15.75" thickBot="1" x14ac:dyDescent="0.3">
      <c r="A92" s="464"/>
      <c r="B92" s="465"/>
      <c r="C92" s="466"/>
      <c r="D92" s="466"/>
      <c r="E92" s="467"/>
      <c r="F92" s="468"/>
      <c r="G92" s="469"/>
      <c r="H92" s="470"/>
      <c r="I92" s="469"/>
      <c r="J92" s="471"/>
      <c r="K92" s="343"/>
    </row>
    <row r="93" spans="1:11" s="472" customFormat="1" ht="15" x14ac:dyDescent="0.25">
      <c r="A93" s="343"/>
      <c r="B93" s="473"/>
      <c r="C93" s="473"/>
      <c r="D93" s="473"/>
      <c r="E93" s="473"/>
      <c r="F93" s="473"/>
      <c r="G93" s="343"/>
      <c r="H93" s="474"/>
      <c r="I93" s="343"/>
      <c r="J93" s="343"/>
      <c r="K93" s="343"/>
    </row>
    <row r="94" spans="1:11" s="472" customFormat="1" ht="15" x14ac:dyDescent="0.25">
      <c r="A94" s="343"/>
      <c r="B94" s="473"/>
      <c r="C94" s="473"/>
      <c r="D94" s="473"/>
      <c r="E94" s="473"/>
      <c r="F94" s="473"/>
      <c r="G94" s="343"/>
      <c r="H94" s="474"/>
      <c r="I94" s="475"/>
      <c r="J94" s="343"/>
      <c r="K94" s="343"/>
    </row>
    <row r="95" spans="1:11" s="472" customFormat="1" ht="15" x14ac:dyDescent="0.25">
      <c r="A95" s="343"/>
      <c r="B95" s="473"/>
      <c r="C95" s="473"/>
      <c r="D95" s="473"/>
      <c r="E95" s="473"/>
      <c r="F95" s="473"/>
      <c r="G95" s="343"/>
      <c r="H95" s="474"/>
      <c r="I95" s="475"/>
      <c r="J95" s="343"/>
      <c r="K95" s="343"/>
    </row>
    <row r="96" spans="1:11" s="472" customFormat="1" ht="15" x14ac:dyDescent="0.25">
      <c r="A96" s="343"/>
      <c r="B96" s="473"/>
      <c r="C96" s="473"/>
      <c r="D96" s="473"/>
      <c r="E96" s="473"/>
      <c r="F96" s="473"/>
      <c r="G96" s="343"/>
      <c r="H96" s="474"/>
      <c r="I96" s="343"/>
      <c r="J96" s="343"/>
      <c r="K96" s="343"/>
    </row>
    <row r="97" spans="1:11" s="472" customFormat="1" ht="15" x14ac:dyDescent="0.25">
      <c r="A97" s="343"/>
      <c r="B97" s="473"/>
      <c r="C97" s="473"/>
      <c r="D97" s="473"/>
      <c r="E97" s="473"/>
      <c r="F97" s="473"/>
      <c r="G97" s="343"/>
      <c r="H97" s="474"/>
      <c r="I97" s="343"/>
      <c r="J97" s="343"/>
      <c r="K97" s="343"/>
    </row>
    <row r="98" spans="1:11" s="472" customFormat="1" ht="15" x14ac:dyDescent="0.25">
      <c r="A98" s="343"/>
      <c r="B98" s="473"/>
      <c r="C98" s="473"/>
      <c r="D98" s="473"/>
      <c r="E98" s="473"/>
      <c r="F98" s="473"/>
      <c r="G98" s="343"/>
      <c r="H98" s="474"/>
      <c r="I98" s="343"/>
      <c r="J98" s="343"/>
      <c r="K98" s="343"/>
    </row>
    <row r="99" spans="1:11" s="472" customFormat="1" ht="15" x14ac:dyDescent="0.25">
      <c r="A99" s="343"/>
      <c r="B99" s="473"/>
      <c r="C99" s="473"/>
      <c r="D99" s="473"/>
      <c r="E99" s="473"/>
      <c r="F99" s="473"/>
      <c r="G99" s="343"/>
      <c r="H99" s="474"/>
      <c r="I99" s="343"/>
      <c r="J99" s="343"/>
      <c r="K99" s="343"/>
    </row>
    <row r="100" spans="1:11" s="472" customFormat="1" ht="15" x14ac:dyDescent="0.25">
      <c r="A100" s="343"/>
      <c r="B100" s="473"/>
      <c r="C100" s="473"/>
      <c r="D100" s="473"/>
      <c r="E100" s="473"/>
      <c r="F100" s="473"/>
      <c r="G100" s="343"/>
      <c r="H100" s="474"/>
      <c r="I100" s="343"/>
      <c r="J100" s="343"/>
      <c r="K100" s="343"/>
    </row>
    <row r="101" spans="1:11" s="472" customFormat="1" ht="15" x14ac:dyDescent="0.25">
      <c r="A101" s="343"/>
      <c r="B101" s="473"/>
      <c r="C101" s="473"/>
      <c r="D101" s="473"/>
      <c r="E101" s="473"/>
      <c r="F101" s="473"/>
      <c r="G101" s="343"/>
      <c r="H101" s="474"/>
      <c r="I101" s="343"/>
      <c r="J101" s="343"/>
      <c r="K101" s="343"/>
    </row>
    <row r="102" spans="1:11" s="472" customFormat="1" ht="15" x14ac:dyDescent="0.25">
      <c r="A102" s="343"/>
      <c r="B102" s="473"/>
      <c r="C102" s="473"/>
      <c r="D102" s="473"/>
      <c r="E102" s="473"/>
      <c r="F102" s="473"/>
      <c r="G102" s="343"/>
      <c r="H102" s="474"/>
      <c r="I102" s="343"/>
      <c r="J102" s="343"/>
      <c r="K102" s="343"/>
    </row>
    <row r="103" spans="1:11" s="472" customFormat="1" ht="15" x14ac:dyDescent="0.25">
      <c r="A103" s="343"/>
      <c r="B103" s="473"/>
      <c r="C103" s="473"/>
      <c r="D103" s="473"/>
      <c r="E103" s="473"/>
      <c r="F103" s="473"/>
      <c r="G103" s="343"/>
      <c r="H103" s="474"/>
      <c r="I103" s="343"/>
      <c r="J103" s="343"/>
      <c r="K103" s="343"/>
    </row>
    <row r="104" spans="1:11" s="472" customFormat="1" ht="15" x14ac:dyDescent="0.25">
      <c r="A104" s="343"/>
      <c r="B104" s="473"/>
      <c r="C104" s="473"/>
      <c r="D104" s="473"/>
      <c r="E104" s="473"/>
      <c r="F104" s="473"/>
      <c r="G104" s="343"/>
      <c r="H104" s="474"/>
      <c r="I104" s="343"/>
      <c r="J104" s="343"/>
      <c r="K104" s="343"/>
    </row>
    <row r="105" spans="1:11" s="472" customFormat="1" ht="15" x14ac:dyDescent="0.25">
      <c r="A105" s="343"/>
      <c r="B105" s="473"/>
      <c r="C105" s="473"/>
      <c r="D105" s="473"/>
      <c r="E105" s="473"/>
      <c r="F105" s="473"/>
      <c r="G105" s="343"/>
      <c r="H105" s="474"/>
      <c r="I105" s="343"/>
      <c r="J105" s="343"/>
      <c r="K105" s="343"/>
    </row>
    <row r="106" spans="1:11" s="472" customFormat="1" ht="15" x14ac:dyDescent="0.25">
      <c r="A106" s="343"/>
      <c r="B106" s="473"/>
      <c r="C106" s="473"/>
      <c r="D106" s="473"/>
      <c r="E106" s="473"/>
      <c r="F106" s="473"/>
      <c r="G106" s="343"/>
      <c r="H106" s="474"/>
      <c r="I106" s="343"/>
      <c r="J106" s="343"/>
      <c r="K106" s="343"/>
    </row>
    <row r="107" spans="1:11" x14ac:dyDescent="0.2">
      <c r="B107" s="473"/>
      <c r="C107" s="473"/>
      <c r="D107" s="473"/>
      <c r="E107" s="473"/>
      <c r="F107" s="473"/>
    </row>
    <row r="108" spans="1:11" x14ac:dyDescent="0.2">
      <c r="B108" s="473"/>
      <c r="C108" s="473"/>
      <c r="D108" s="473"/>
      <c r="E108" s="473"/>
      <c r="F108" s="473"/>
    </row>
    <row r="109" spans="1:11" x14ac:dyDescent="0.2">
      <c r="B109" s="473"/>
      <c r="C109" s="473"/>
      <c r="D109" s="473"/>
      <c r="E109" s="473"/>
      <c r="F109" s="473"/>
    </row>
    <row r="110" spans="1:11" x14ac:dyDescent="0.2">
      <c r="B110" s="473"/>
      <c r="C110" s="473"/>
      <c r="D110" s="473"/>
      <c r="E110" s="473"/>
      <c r="F110" s="473"/>
    </row>
    <row r="111" spans="1:11" x14ac:dyDescent="0.2">
      <c r="B111" s="473"/>
      <c r="C111" s="473"/>
      <c r="D111" s="473"/>
      <c r="E111" s="473"/>
      <c r="F111" s="473"/>
    </row>
    <row r="112" spans="1:11" x14ac:dyDescent="0.2">
      <c r="B112" s="473"/>
      <c r="C112" s="473"/>
      <c r="D112" s="473"/>
      <c r="E112" s="473"/>
      <c r="F112" s="473"/>
    </row>
    <row r="113" spans="2:6" x14ac:dyDescent="0.2">
      <c r="B113" s="473"/>
      <c r="C113" s="473"/>
      <c r="D113" s="473"/>
      <c r="E113" s="473"/>
      <c r="F113" s="473"/>
    </row>
    <row r="114" spans="2:6" x14ac:dyDescent="0.2">
      <c r="B114" s="473"/>
      <c r="C114" s="473"/>
      <c r="D114" s="473"/>
      <c r="E114" s="473"/>
      <c r="F114" s="473"/>
    </row>
    <row r="115" spans="2:6" x14ac:dyDescent="0.2">
      <c r="B115" s="473"/>
      <c r="C115" s="473"/>
      <c r="D115" s="473"/>
      <c r="E115" s="473"/>
      <c r="F115" s="473"/>
    </row>
    <row r="116" spans="2:6" x14ac:dyDescent="0.2">
      <c r="B116" s="473"/>
      <c r="C116" s="473"/>
      <c r="D116" s="473"/>
      <c r="E116" s="473"/>
      <c r="F116" s="473"/>
    </row>
    <row r="117" spans="2:6" x14ac:dyDescent="0.2">
      <c r="B117" s="473"/>
      <c r="C117" s="473"/>
      <c r="D117" s="473"/>
      <c r="E117" s="473"/>
      <c r="F117" s="473"/>
    </row>
    <row r="118" spans="2:6" x14ac:dyDescent="0.2">
      <c r="B118" s="473"/>
      <c r="C118" s="473"/>
      <c r="D118" s="473"/>
      <c r="E118" s="473"/>
      <c r="F118" s="473"/>
    </row>
    <row r="119" spans="2:6" x14ac:dyDescent="0.2">
      <c r="B119" s="473"/>
      <c r="C119" s="473"/>
      <c r="D119" s="473"/>
      <c r="E119" s="473"/>
      <c r="F119" s="473"/>
    </row>
    <row r="120" spans="2:6" x14ac:dyDescent="0.2">
      <c r="B120" s="473"/>
      <c r="C120" s="473"/>
      <c r="D120" s="473"/>
      <c r="E120" s="473"/>
      <c r="F120" s="473"/>
    </row>
    <row r="121" spans="2:6" x14ac:dyDescent="0.2">
      <c r="B121" s="473"/>
      <c r="C121" s="473"/>
      <c r="D121" s="473"/>
      <c r="E121" s="473"/>
      <c r="F121" s="473"/>
    </row>
    <row r="122" spans="2:6" x14ac:dyDescent="0.2">
      <c r="B122" s="473"/>
      <c r="C122" s="473"/>
      <c r="D122" s="473"/>
      <c r="E122" s="473"/>
      <c r="F122" s="473"/>
    </row>
    <row r="123" spans="2:6" x14ac:dyDescent="0.2">
      <c r="B123" s="473"/>
      <c r="C123" s="473"/>
      <c r="D123" s="473"/>
      <c r="E123" s="473"/>
      <c r="F123" s="473"/>
    </row>
    <row r="124" spans="2:6" x14ac:dyDescent="0.2">
      <c r="B124" s="473"/>
      <c r="C124" s="473"/>
      <c r="D124" s="473"/>
      <c r="E124" s="473"/>
      <c r="F124" s="473"/>
    </row>
    <row r="125" spans="2:6" x14ac:dyDescent="0.2">
      <c r="B125" s="473"/>
      <c r="C125" s="473"/>
      <c r="D125" s="473"/>
      <c r="E125" s="473"/>
      <c r="F125" s="473"/>
    </row>
    <row r="126" spans="2:6" x14ac:dyDescent="0.2">
      <c r="B126" s="473"/>
      <c r="C126" s="473"/>
      <c r="D126" s="473"/>
      <c r="E126" s="473"/>
      <c r="F126" s="473"/>
    </row>
    <row r="127" spans="2:6" x14ac:dyDescent="0.2">
      <c r="B127" s="473"/>
      <c r="C127" s="473"/>
      <c r="D127" s="473"/>
      <c r="E127" s="473"/>
      <c r="F127" s="473"/>
    </row>
    <row r="128" spans="2:6" x14ac:dyDescent="0.2">
      <c r="B128" s="473"/>
      <c r="C128" s="473"/>
      <c r="D128" s="473"/>
      <c r="E128" s="473"/>
      <c r="F128" s="473"/>
    </row>
    <row r="129" spans="2:6" x14ac:dyDescent="0.2">
      <c r="B129" s="473"/>
      <c r="C129" s="473"/>
      <c r="D129" s="473"/>
      <c r="E129" s="473"/>
      <c r="F129" s="473"/>
    </row>
    <row r="130" spans="2:6" x14ac:dyDescent="0.2">
      <c r="B130" s="473"/>
      <c r="C130" s="473"/>
      <c r="D130" s="473"/>
      <c r="E130" s="473"/>
      <c r="F130" s="473"/>
    </row>
    <row r="131" spans="2:6" x14ac:dyDescent="0.2">
      <c r="B131" s="473"/>
      <c r="C131" s="473"/>
      <c r="D131" s="473"/>
      <c r="E131" s="473"/>
      <c r="F131" s="473"/>
    </row>
    <row r="132" spans="2:6" x14ac:dyDescent="0.2">
      <c r="B132" s="473"/>
      <c r="C132" s="473"/>
      <c r="D132" s="473"/>
      <c r="E132" s="473"/>
      <c r="F132" s="473"/>
    </row>
    <row r="133" spans="2:6" x14ac:dyDescent="0.2">
      <c r="B133" s="473"/>
      <c r="C133" s="473"/>
      <c r="D133" s="473"/>
      <c r="E133" s="473"/>
      <c r="F133" s="473"/>
    </row>
    <row r="134" spans="2:6" x14ac:dyDescent="0.2">
      <c r="B134" s="473"/>
      <c r="C134" s="473"/>
      <c r="D134" s="473"/>
      <c r="E134" s="473"/>
      <c r="F134" s="473"/>
    </row>
    <row r="135" spans="2:6" x14ac:dyDescent="0.2">
      <c r="B135" s="473"/>
      <c r="C135" s="473"/>
      <c r="D135" s="473"/>
      <c r="E135" s="473"/>
      <c r="F135" s="473"/>
    </row>
    <row r="136" spans="2:6" x14ac:dyDescent="0.2">
      <c r="B136" s="473"/>
      <c r="C136" s="473"/>
      <c r="D136" s="473"/>
      <c r="E136" s="473"/>
      <c r="F136" s="473"/>
    </row>
    <row r="137" spans="2:6" x14ac:dyDescent="0.2">
      <c r="B137" s="473"/>
      <c r="C137" s="473"/>
      <c r="D137" s="473"/>
      <c r="E137" s="473"/>
      <c r="F137" s="473"/>
    </row>
    <row r="138" spans="2:6" x14ac:dyDescent="0.2">
      <c r="B138" s="473"/>
      <c r="C138" s="473"/>
      <c r="D138" s="473"/>
      <c r="E138" s="473"/>
      <c r="F138" s="473"/>
    </row>
    <row r="139" spans="2:6" x14ac:dyDescent="0.2">
      <c r="B139" s="473"/>
      <c r="C139" s="473"/>
      <c r="D139" s="473"/>
      <c r="E139" s="473"/>
      <c r="F139" s="473"/>
    </row>
    <row r="140" spans="2:6" x14ac:dyDescent="0.2">
      <c r="B140" s="473"/>
      <c r="C140" s="473"/>
      <c r="D140" s="473"/>
      <c r="E140" s="473"/>
      <c r="F140" s="473"/>
    </row>
    <row r="141" spans="2:6" x14ac:dyDescent="0.2">
      <c r="B141" s="473"/>
      <c r="C141" s="473"/>
      <c r="D141" s="473"/>
      <c r="E141" s="473"/>
      <c r="F141" s="473"/>
    </row>
    <row r="142" spans="2:6" x14ac:dyDescent="0.2">
      <c r="B142" s="473"/>
      <c r="C142" s="473"/>
      <c r="D142" s="473"/>
      <c r="E142" s="473"/>
      <c r="F142" s="473"/>
    </row>
    <row r="143" spans="2:6" x14ac:dyDescent="0.2">
      <c r="B143" s="473"/>
      <c r="C143" s="473"/>
      <c r="D143" s="473"/>
      <c r="E143" s="473"/>
      <c r="F143" s="473"/>
    </row>
    <row r="144" spans="2:6" x14ac:dyDescent="0.2">
      <c r="B144" s="473"/>
      <c r="C144" s="473"/>
      <c r="D144" s="473"/>
      <c r="E144" s="473"/>
      <c r="F144" s="473"/>
    </row>
    <row r="145" spans="2:6" x14ac:dyDescent="0.2">
      <c r="B145" s="473"/>
      <c r="C145" s="473"/>
      <c r="D145" s="473"/>
      <c r="E145" s="473"/>
      <c r="F145" s="473"/>
    </row>
    <row r="146" spans="2:6" x14ac:dyDescent="0.2">
      <c r="B146" s="473"/>
      <c r="C146" s="473"/>
      <c r="D146" s="473"/>
      <c r="E146" s="473"/>
      <c r="F146" s="473"/>
    </row>
    <row r="147" spans="2:6" x14ac:dyDescent="0.2">
      <c r="B147" s="473"/>
      <c r="C147" s="473"/>
      <c r="D147" s="473"/>
      <c r="E147" s="473"/>
      <c r="F147" s="473"/>
    </row>
    <row r="148" spans="2:6" x14ac:dyDescent="0.2">
      <c r="B148" s="473"/>
      <c r="C148" s="473"/>
      <c r="D148" s="473"/>
      <c r="E148" s="473"/>
      <c r="F148" s="473"/>
    </row>
    <row r="149" spans="2:6" x14ac:dyDescent="0.2">
      <c r="B149" s="473"/>
      <c r="C149" s="473"/>
      <c r="D149" s="473"/>
      <c r="E149" s="473"/>
      <c r="F149" s="473"/>
    </row>
    <row r="150" spans="2:6" x14ac:dyDescent="0.2">
      <c r="B150" s="473"/>
      <c r="C150" s="473"/>
      <c r="D150" s="473"/>
      <c r="E150" s="473"/>
      <c r="F150" s="473"/>
    </row>
    <row r="151" spans="2:6" x14ac:dyDescent="0.2">
      <c r="B151" s="473"/>
      <c r="C151" s="473"/>
      <c r="D151" s="473"/>
      <c r="E151" s="473"/>
      <c r="F151" s="473"/>
    </row>
    <row r="152" spans="2:6" x14ac:dyDescent="0.2">
      <c r="B152" s="473"/>
      <c r="C152" s="473"/>
      <c r="D152" s="473"/>
      <c r="E152" s="473"/>
      <c r="F152" s="473"/>
    </row>
    <row r="153" spans="2:6" x14ac:dyDescent="0.2">
      <c r="B153" s="473"/>
      <c r="C153" s="473"/>
      <c r="D153" s="473"/>
      <c r="E153" s="473"/>
      <c r="F153" s="473"/>
    </row>
    <row r="154" spans="2:6" x14ac:dyDescent="0.2">
      <c r="B154" s="473"/>
      <c r="C154" s="473"/>
      <c r="D154" s="473"/>
      <c r="E154" s="473"/>
      <c r="F154" s="473"/>
    </row>
    <row r="155" spans="2:6" x14ac:dyDescent="0.2">
      <c r="B155" s="473"/>
      <c r="C155" s="473"/>
      <c r="D155" s="473"/>
      <c r="E155" s="473"/>
      <c r="F155" s="473"/>
    </row>
    <row r="156" spans="2:6" x14ac:dyDescent="0.2">
      <c r="B156" s="473"/>
      <c r="C156" s="473"/>
      <c r="D156" s="473"/>
      <c r="E156" s="473"/>
      <c r="F156" s="473"/>
    </row>
    <row r="157" spans="2:6" x14ac:dyDescent="0.2">
      <c r="B157" s="473"/>
      <c r="C157" s="473"/>
      <c r="D157" s="473"/>
      <c r="E157" s="473"/>
      <c r="F157" s="473"/>
    </row>
    <row r="158" spans="2:6" x14ac:dyDescent="0.2">
      <c r="B158" s="473"/>
      <c r="C158" s="473"/>
      <c r="D158" s="473"/>
      <c r="E158" s="473"/>
      <c r="F158" s="473"/>
    </row>
    <row r="159" spans="2:6" x14ac:dyDescent="0.2">
      <c r="B159" s="473"/>
      <c r="C159" s="473"/>
      <c r="D159" s="473"/>
      <c r="E159" s="473"/>
      <c r="F159" s="473"/>
    </row>
    <row r="160" spans="2:6" x14ac:dyDescent="0.2">
      <c r="B160" s="473"/>
      <c r="C160" s="473"/>
      <c r="D160" s="473"/>
      <c r="E160" s="473"/>
      <c r="F160" s="473"/>
    </row>
    <row r="161" spans="2:6" x14ac:dyDescent="0.2">
      <c r="B161" s="473"/>
      <c r="C161" s="473"/>
      <c r="D161" s="473"/>
      <c r="E161" s="473"/>
      <c r="F161" s="473"/>
    </row>
    <row r="162" spans="2:6" x14ac:dyDescent="0.2">
      <c r="B162" s="473"/>
      <c r="C162" s="473"/>
      <c r="D162" s="473"/>
      <c r="E162" s="473"/>
      <c r="F162" s="473"/>
    </row>
    <row r="163" spans="2:6" x14ac:dyDescent="0.2">
      <c r="B163" s="473"/>
      <c r="C163" s="473"/>
      <c r="D163" s="473"/>
      <c r="E163" s="473"/>
      <c r="F163" s="473"/>
    </row>
    <row r="164" spans="2:6" x14ac:dyDescent="0.2">
      <c r="B164" s="473"/>
      <c r="C164" s="473"/>
      <c r="D164" s="473"/>
      <c r="E164" s="473"/>
      <c r="F164" s="473"/>
    </row>
    <row r="165" spans="2:6" x14ac:dyDescent="0.2">
      <c r="B165" s="473"/>
      <c r="C165" s="473"/>
      <c r="D165" s="473"/>
      <c r="E165" s="473"/>
      <c r="F165" s="473"/>
    </row>
    <row r="166" spans="2:6" x14ac:dyDescent="0.2">
      <c r="B166" s="473"/>
      <c r="C166" s="473"/>
      <c r="D166" s="473"/>
      <c r="E166" s="473"/>
      <c r="F166" s="473"/>
    </row>
    <row r="167" spans="2:6" x14ac:dyDescent="0.2">
      <c r="B167" s="473"/>
      <c r="C167" s="473"/>
      <c r="D167" s="473"/>
      <c r="E167" s="473"/>
      <c r="F167" s="473"/>
    </row>
    <row r="168" spans="2:6" x14ac:dyDescent="0.2">
      <c r="B168" s="473"/>
      <c r="C168" s="473"/>
      <c r="D168" s="473"/>
      <c r="E168" s="473"/>
      <c r="F168" s="473"/>
    </row>
    <row r="169" spans="2:6" x14ac:dyDescent="0.2">
      <c r="B169" s="473"/>
      <c r="C169" s="473"/>
      <c r="D169" s="473"/>
      <c r="E169" s="473"/>
      <c r="F169" s="473"/>
    </row>
    <row r="170" spans="2:6" x14ac:dyDescent="0.2">
      <c r="B170" s="473"/>
      <c r="C170" s="473"/>
      <c r="D170" s="473"/>
      <c r="E170" s="473"/>
      <c r="F170" s="473"/>
    </row>
    <row r="171" spans="2:6" x14ac:dyDescent="0.2">
      <c r="B171" s="473"/>
      <c r="C171" s="473"/>
      <c r="D171" s="473"/>
      <c r="E171" s="473"/>
      <c r="F171" s="473"/>
    </row>
    <row r="172" spans="2:6" x14ac:dyDescent="0.2">
      <c r="B172" s="473"/>
      <c r="C172" s="473"/>
      <c r="D172" s="473"/>
      <c r="E172" s="473"/>
      <c r="F172" s="473"/>
    </row>
    <row r="173" spans="2:6" x14ac:dyDescent="0.2">
      <c r="B173" s="473"/>
      <c r="C173" s="473"/>
      <c r="D173" s="473"/>
      <c r="E173" s="473"/>
      <c r="F173" s="473"/>
    </row>
    <row r="174" spans="2:6" x14ac:dyDescent="0.2">
      <c r="B174" s="473"/>
      <c r="C174" s="473"/>
      <c r="D174" s="473"/>
      <c r="E174" s="473"/>
      <c r="F174" s="473"/>
    </row>
    <row r="175" spans="2:6" x14ac:dyDescent="0.2">
      <c r="B175" s="473"/>
      <c r="C175" s="473"/>
      <c r="D175" s="473"/>
      <c r="E175" s="473"/>
      <c r="F175" s="473"/>
    </row>
    <row r="176" spans="2:6" x14ac:dyDescent="0.2">
      <c r="B176" s="473"/>
      <c r="C176" s="473"/>
      <c r="D176" s="473"/>
      <c r="E176" s="473"/>
      <c r="F176" s="473"/>
    </row>
    <row r="177" spans="2:6" x14ac:dyDescent="0.2">
      <c r="B177" s="473"/>
      <c r="C177" s="473"/>
      <c r="D177" s="473"/>
      <c r="E177" s="473"/>
      <c r="F177" s="473"/>
    </row>
    <row r="178" spans="2:6" x14ac:dyDescent="0.2">
      <c r="B178" s="473"/>
      <c r="C178" s="473"/>
      <c r="D178" s="473"/>
      <c r="E178" s="473"/>
      <c r="F178" s="473"/>
    </row>
    <row r="179" spans="2:6" x14ac:dyDescent="0.2">
      <c r="B179" s="473"/>
      <c r="C179" s="473"/>
      <c r="D179" s="473"/>
      <c r="E179" s="473"/>
      <c r="F179" s="473"/>
    </row>
    <row r="180" spans="2:6" x14ac:dyDescent="0.2">
      <c r="B180" s="473"/>
      <c r="C180" s="473"/>
      <c r="D180" s="473"/>
      <c r="E180" s="473"/>
      <c r="F180" s="473"/>
    </row>
    <row r="181" spans="2:6" x14ac:dyDescent="0.2">
      <c r="B181" s="473"/>
      <c r="C181" s="473"/>
      <c r="D181" s="473"/>
      <c r="E181" s="473"/>
      <c r="F181" s="473"/>
    </row>
    <row r="182" spans="2:6" x14ac:dyDescent="0.2">
      <c r="B182" s="473"/>
      <c r="C182" s="473"/>
      <c r="D182" s="473"/>
      <c r="E182" s="473"/>
      <c r="F182" s="473"/>
    </row>
    <row r="183" spans="2:6" x14ac:dyDescent="0.2">
      <c r="B183" s="473"/>
      <c r="C183" s="473"/>
      <c r="D183" s="473"/>
      <c r="E183" s="473"/>
      <c r="F183" s="473"/>
    </row>
    <row r="184" spans="2:6" x14ac:dyDescent="0.2">
      <c r="B184" s="473"/>
      <c r="C184" s="473"/>
      <c r="D184" s="473"/>
      <c r="E184" s="473"/>
      <c r="F184" s="473"/>
    </row>
    <row r="185" spans="2:6" x14ac:dyDescent="0.2">
      <c r="B185" s="473"/>
      <c r="C185" s="473"/>
      <c r="D185" s="473"/>
      <c r="E185" s="473"/>
      <c r="F185" s="473"/>
    </row>
    <row r="186" spans="2:6" x14ac:dyDescent="0.2">
      <c r="B186" s="473"/>
      <c r="C186" s="473"/>
      <c r="D186" s="473"/>
      <c r="E186" s="473"/>
      <c r="F186" s="473"/>
    </row>
    <row r="187" spans="2:6" x14ac:dyDescent="0.2">
      <c r="B187" s="473"/>
      <c r="C187" s="473"/>
      <c r="D187" s="473"/>
      <c r="E187" s="473"/>
      <c r="F187" s="473"/>
    </row>
    <row r="188" spans="2:6" x14ac:dyDescent="0.2">
      <c r="B188" s="473"/>
      <c r="C188" s="473"/>
      <c r="D188" s="473"/>
      <c r="E188" s="473"/>
      <c r="F188" s="473"/>
    </row>
    <row r="189" spans="2:6" x14ac:dyDescent="0.2">
      <c r="B189" s="473"/>
      <c r="C189" s="473"/>
      <c r="D189" s="473"/>
      <c r="E189" s="473"/>
      <c r="F189" s="473"/>
    </row>
    <row r="190" spans="2:6" x14ac:dyDescent="0.2">
      <c r="B190" s="473"/>
      <c r="C190" s="473"/>
      <c r="D190" s="473"/>
      <c r="E190" s="473"/>
      <c r="F190" s="473"/>
    </row>
    <row r="191" spans="2:6" x14ac:dyDescent="0.2">
      <c r="B191" s="473"/>
      <c r="C191" s="473"/>
      <c r="D191" s="473"/>
      <c r="E191" s="473"/>
      <c r="F191" s="473"/>
    </row>
    <row r="192" spans="2:6" x14ac:dyDescent="0.2">
      <c r="B192" s="473"/>
      <c r="C192" s="473"/>
      <c r="D192" s="473"/>
      <c r="E192" s="473"/>
      <c r="F192" s="473"/>
    </row>
    <row r="193" spans="2:6" x14ac:dyDescent="0.2">
      <c r="B193" s="473"/>
      <c r="C193" s="473"/>
      <c r="D193" s="473"/>
      <c r="E193" s="473"/>
      <c r="F193" s="473"/>
    </row>
    <row r="194" spans="2:6" x14ac:dyDescent="0.2">
      <c r="B194" s="473"/>
      <c r="C194" s="473"/>
      <c r="D194" s="473"/>
      <c r="E194" s="473"/>
      <c r="F194" s="473"/>
    </row>
    <row r="195" spans="2:6" x14ac:dyDescent="0.2">
      <c r="B195" s="473"/>
      <c r="C195" s="473"/>
      <c r="D195" s="473"/>
      <c r="E195" s="473"/>
      <c r="F195" s="473"/>
    </row>
    <row r="196" spans="2:6" x14ac:dyDescent="0.2">
      <c r="B196" s="473"/>
      <c r="C196" s="473"/>
      <c r="D196" s="473"/>
      <c r="E196" s="473"/>
      <c r="F196" s="473"/>
    </row>
    <row r="197" spans="2:6" x14ac:dyDescent="0.2">
      <c r="B197" s="473"/>
      <c r="C197" s="473"/>
      <c r="D197" s="473"/>
      <c r="E197" s="473"/>
      <c r="F197" s="473"/>
    </row>
    <row r="198" spans="2:6" x14ac:dyDescent="0.2">
      <c r="B198" s="473"/>
      <c r="C198" s="473"/>
      <c r="D198" s="473"/>
      <c r="E198" s="473"/>
      <c r="F198" s="473"/>
    </row>
    <row r="199" spans="2:6" x14ac:dyDescent="0.2">
      <c r="B199" s="473"/>
      <c r="C199" s="473"/>
      <c r="D199" s="473"/>
      <c r="E199" s="473"/>
      <c r="F199" s="473"/>
    </row>
    <row r="200" spans="2:6" x14ac:dyDescent="0.2">
      <c r="B200" s="473"/>
      <c r="C200" s="473"/>
      <c r="D200" s="473"/>
      <c r="E200" s="473"/>
      <c r="F200" s="473"/>
    </row>
    <row r="201" spans="2:6" x14ac:dyDescent="0.2">
      <c r="B201" s="473"/>
      <c r="C201" s="473"/>
      <c r="D201" s="473"/>
      <c r="E201" s="473"/>
      <c r="F201" s="473"/>
    </row>
    <row r="202" spans="2:6" x14ac:dyDescent="0.2">
      <c r="B202" s="473"/>
      <c r="C202" s="473"/>
      <c r="D202" s="473"/>
      <c r="E202" s="473"/>
      <c r="F202" s="473"/>
    </row>
    <row r="203" spans="2:6" x14ac:dyDescent="0.2">
      <c r="B203" s="473"/>
      <c r="C203" s="473"/>
      <c r="D203" s="473"/>
      <c r="E203" s="473"/>
      <c r="F203" s="473"/>
    </row>
    <row r="204" spans="2:6" x14ac:dyDescent="0.2">
      <c r="B204" s="473"/>
      <c r="C204" s="473"/>
      <c r="D204" s="473"/>
      <c r="E204" s="473"/>
      <c r="F204" s="473"/>
    </row>
    <row r="205" spans="2:6" x14ac:dyDescent="0.2">
      <c r="B205" s="473"/>
      <c r="C205" s="473"/>
      <c r="D205" s="473"/>
      <c r="E205" s="473"/>
      <c r="F205" s="473"/>
    </row>
    <row r="206" spans="2:6" x14ac:dyDescent="0.2">
      <c r="B206" s="473"/>
      <c r="C206" s="473"/>
      <c r="D206" s="473"/>
      <c r="E206" s="473"/>
      <c r="F206" s="473"/>
    </row>
    <row r="207" spans="2:6" x14ac:dyDescent="0.2">
      <c r="B207" s="473"/>
      <c r="C207" s="473"/>
      <c r="D207" s="473"/>
      <c r="E207" s="473"/>
      <c r="F207" s="473"/>
    </row>
    <row r="208" spans="2:6" x14ac:dyDescent="0.2">
      <c r="B208" s="473"/>
      <c r="C208" s="473"/>
      <c r="D208" s="473"/>
      <c r="E208" s="473"/>
      <c r="F208" s="473"/>
    </row>
    <row r="209" spans="2:6" x14ac:dyDescent="0.2">
      <c r="B209" s="473"/>
      <c r="C209" s="473"/>
      <c r="D209" s="473"/>
      <c r="E209" s="473"/>
      <c r="F209" s="473"/>
    </row>
    <row r="210" spans="2:6" x14ac:dyDescent="0.2">
      <c r="B210" s="473"/>
      <c r="C210" s="473"/>
      <c r="D210" s="473"/>
      <c r="E210" s="473"/>
      <c r="F210" s="473"/>
    </row>
    <row r="211" spans="2:6" x14ac:dyDescent="0.2">
      <c r="B211" s="473"/>
      <c r="C211" s="473"/>
      <c r="D211" s="473"/>
      <c r="E211" s="473"/>
      <c r="F211" s="473"/>
    </row>
    <row r="212" spans="2:6" x14ac:dyDescent="0.2">
      <c r="B212" s="473"/>
      <c r="C212" s="473"/>
      <c r="D212" s="473"/>
      <c r="E212" s="473"/>
      <c r="F212" s="473"/>
    </row>
    <row r="213" spans="2:6" x14ac:dyDescent="0.2">
      <c r="B213" s="473"/>
      <c r="C213" s="473"/>
      <c r="D213" s="473"/>
      <c r="E213" s="473"/>
      <c r="F213" s="473"/>
    </row>
    <row r="214" spans="2:6" x14ac:dyDescent="0.2">
      <c r="B214" s="473"/>
      <c r="C214" s="473"/>
      <c r="D214" s="473"/>
      <c r="E214" s="473"/>
      <c r="F214" s="473"/>
    </row>
    <row r="215" spans="2:6" x14ac:dyDescent="0.2">
      <c r="B215" s="473"/>
      <c r="C215" s="473"/>
      <c r="D215" s="473"/>
      <c r="E215" s="473"/>
      <c r="F215" s="473"/>
    </row>
    <row r="216" spans="2:6" x14ac:dyDescent="0.2">
      <c r="B216" s="473"/>
      <c r="C216" s="473"/>
      <c r="D216" s="473"/>
      <c r="E216" s="473"/>
      <c r="F216" s="473"/>
    </row>
    <row r="217" spans="2:6" x14ac:dyDescent="0.2">
      <c r="B217" s="473"/>
      <c r="C217" s="473"/>
      <c r="D217" s="473"/>
      <c r="E217" s="473"/>
      <c r="F217" s="473"/>
    </row>
    <row r="218" spans="2:6" x14ac:dyDescent="0.2">
      <c r="B218" s="473"/>
      <c r="C218" s="473"/>
      <c r="D218" s="473"/>
      <c r="E218" s="473"/>
      <c r="F218" s="473"/>
    </row>
    <row r="219" spans="2:6" x14ac:dyDescent="0.2">
      <c r="B219" s="473"/>
      <c r="C219" s="473"/>
      <c r="D219" s="473"/>
      <c r="E219" s="473"/>
      <c r="F219" s="473"/>
    </row>
    <row r="220" spans="2:6" x14ac:dyDescent="0.2">
      <c r="B220" s="473"/>
      <c r="C220" s="473"/>
      <c r="D220" s="473"/>
      <c r="E220" s="473"/>
      <c r="F220" s="473"/>
    </row>
    <row r="221" spans="2:6" x14ac:dyDescent="0.2">
      <c r="B221" s="473"/>
      <c r="C221" s="473"/>
      <c r="D221" s="473"/>
      <c r="E221" s="473"/>
      <c r="F221" s="473"/>
    </row>
    <row r="222" spans="2:6" x14ac:dyDescent="0.2">
      <c r="B222" s="473"/>
      <c r="C222" s="473"/>
      <c r="D222" s="473"/>
      <c r="E222" s="473"/>
      <c r="F222" s="473"/>
    </row>
    <row r="223" spans="2:6" x14ac:dyDescent="0.2">
      <c r="B223" s="473"/>
      <c r="C223" s="473"/>
      <c r="D223" s="473"/>
      <c r="E223" s="473"/>
      <c r="F223" s="473"/>
    </row>
    <row r="224" spans="2:6" x14ac:dyDescent="0.2">
      <c r="B224" s="473"/>
      <c r="C224" s="473"/>
      <c r="D224" s="473"/>
      <c r="E224" s="473"/>
      <c r="F224" s="473"/>
    </row>
    <row r="225" spans="2:6" x14ac:dyDescent="0.2">
      <c r="B225" s="473"/>
      <c r="C225" s="473"/>
      <c r="D225" s="473"/>
      <c r="E225" s="473"/>
      <c r="F225" s="473"/>
    </row>
    <row r="226" spans="2:6" x14ac:dyDescent="0.2">
      <c r="B226" s="473"/>
      <c r="C226" s="473"/>
      <c r="D226" s="473"/>
      <c r="E226" s="473"/>
      <c r="F226" s="473"/>
    </row>
    <row r="227" spans="2:6" x14ac:dyDescent="0.2">
      <c r="B227" s="473"/>
      <c r="C227" s="473"/>
      <c r="D227" s="473"/>
      <c r="E227" s="473"/>
      <c r="F227" s="473"/>
    </row>
    <row r="228" spans="2:6" x14ac:dyDescent="0.2">
      <c r="B228" s="473"/>
      <c r="C228" s="473"/>
      <c r="D228" s="473"/>
      <c r="E228" s="473"/>
      <c r="F228" s="473"/>
    </row>
    <row r="229" spans="2:6" x14ac:dyDescent="0.2">
      <c r="B229" s="473"/>
      <c r="C229" s="473"/>
      <c r="D229" s="473"/>
      <c r="E229" s="473"/>
      <c r="F229" s="473"/>
    </row>
    <row r="230" spans="2:6" x14ac:dyDescent="0.2">
      <c r="B230" s="473"/>
      <c r="C230" s="473"/>
      <c r="D230" s="473"/>
      <c r="E230" s="473"/>
      <c r="F230" s="473"/>
    </row>
    <row r="231" spans="2:6" x14ac:dyDescent="0.2">
      <c r="B231" s="473"/>
      <c r="C231" s="473"/>
      <c r="D231" s="473"/>
      <c r="E231" s="473"/>
      <c r="F231" s="473"/>
    </row>
    <row r="232" spans="2:6" x14ac:dyDescent="0.2">
      <c r="B232" s="473"/>
      <c r="C232" s="473"/>
      <c r="D232" s="473"/>
      <c r="E232" s="473"/>
      <c r="F232" s="473"/>
    </row>
    <row r="233" spans="2:6" x14ac:dyDescent="0.2">
      <c r="B233" s="473"/>
      <c r="C233" s="473"/>
      <c r="D233" s="473"/>
      <c r="E233" s="473"/>
      <c r="F233" s="473"/>
    </row>
    <row r="234" spans="2:6" x14ac:dyDescent="0.2">
      <c r="B234" s="473"/>
      <c r="C234" s="473"/>
      <c r="D234" s="473"/>
      <c r="E234" s="473"/>
      <c r="F234" s="473"/>
    </row>
    <row r="235" spans="2:6" x14ac:dyDescent="0.2">
      <c r="B235" s="473"/>
      <c r="C235" s="473"/>
      <c r="D235" s="473"/>
      <c r="E235" s="473"/>
      <c r="F235" s="473"/>
    </row>
    <row r="236" spans="2:6" x14ac:dyDescent="0.2">
      <c r="B236" s="473"/>
      <c r="C236" s="473"/>
      <c r="D236" s="473"/>
      <c r="E236" s="473"/>
      <c r="F236" s="473"/>
    </row>
    <row r="237" spans="2:6" x14ac:dyDescent="0.2">
      <c r="B237" s="473"/>
      <c r="C237" s="473"/>
      <c r="D237" s="473"/>
      <c r="E237" s="473"/>
      <c r="F237" s="473"/>
    </row>
    <row r="238" spans="2:6" x14ac:dyDescent="0.2">
      <c r="B238" s="473"/>
      <c r="C238" s="473"/>
      <c r="D238" s="473"/>
      <c r="E238" s="473"/>
      <c r="F238" s="473"/>
    </row>
    <row r="239" spans="2:6" x14ac:dyDescent="0.2">
      <c r="B239" s="473"/>
      <c r="C239" s="473"/>
      <c r="D239" s="473"/>
      <c r="E239" s="473"/>
      <c r="F239" s="473"/>
    </row>
    <row r="240" spans="2:6" x14ac:dyDescent="0.2">
      <c r="B240" s="473"/>
      <c r="C240" s="473"/>
      <c r="D240" s="473"/>
      <c r="E240" s="473"/>
      <c r="F240" s="473"/>
    </row>
    <row r="241" spans="2:6" x14ac:dyDescent="0.2">
      <c r="B241" s="473"/>
      <c r="C241" s="473"/>
      <c r="D241" s="473"/>
      <c r="E241" s="473"/>
      <c r="F241" s="473"/>
    </row>
    <row r="242" spans="2:6" x14ac:dyDescent="0.2">
      <c r="B242" s="473"/>
      <c r="C242" s="473"/>
      <c r="D242" s="473"/>
      <c r="E242" s="473"/>
      <c r="F242" s="473"/>
    </row>
    <row r="243" spans="2:6" x14ac:dyDescent="0.2">
      <c r="B243" s="473"/>
      <c r="C243" s="473"/>
      <c r="D243" s="473"/>
      <c r="E243" s="473"/>
      <c r="F243" s="473"/>
    </row>
    <row r="244" spans="2:6" x14ac:dyDescent="0.2">
      <c r="B244" s="473"/>
      <c r="C244" s="473"/>
      <c r="D244" s="473"/>
      <c r="E244" s="473"/>
      <c r="F244" s="473"/>
    </row>
    <row r="245" spans="2:6" x14ac:dyDescent="0.2">
      <c r="B245" s="473"/>
      <c r="C245" s="473"/>
      <c r="D245" s="473"/>
      <c r="E245" s="473"/>
      <c r="F245" s="473"/>
    </row>
    <row r="246" spans="2:6" x14ac:dyDescent="0.2">
      <c r="B246" s="473"/>
      <c r="C246" s="473"/>
      <c r="D246" s="473"/>
      <c r="E246" s="473"/>
      <c r="F246" s="473"/>
    </row>
    <row r="247" spans="2:6" x14ac:dyDescent="0.2">
      <c r="B247" s="473"/>
      <c r="C247" s="473"/>
      <c r="D247" s="473"/>
      <c r="E247" s="473"/>
      <c r="F247" s="473"/>
    </row>
    <row r="248" spans="2:6" x14ac:dyDescent="0.2">
      <c r="B248" s="473"/>
      <c r="C248" s="473"/>
      <c r="D248" s="473"/>
      <c r="E248" s="473"/>
      <c r="F248" s="473"/>
    </row>
    <row r="249" spans="2:6" x14ac:dyDescent="0.2">
      <c r="B249" s="473"/>
      <c r="C249" s="473"/>
      <c r="D249" s="473"/>
      <c r="E249" s="473"/>
      <c r="F249" s="473"/>
    </row>
    <row r="250" spans="2:6" x14ac:dyDescent="0.2">
      <c r="B250" s="473"/>
      <c r="C250" s="473"/>
      <c r="D250" s="473"/>
      <c r="E250" s="473"/>
      <c r="F250" s="473"/>
    </row>
    <row r="251" spans="2:6" x14ac:dyDescent="0.2">
      <c r="B251" s="473"/>
      <c r="C251" s="473"/>
      <c r="D251" s="473"/>
      <c r="E251" s="473"/>
      <c r="F251" s="473"/>
    </row>
    <row r="252" spans="2:6" x14ac:dyDescent="0.2">
      <c r="B252" s="473"/>
      <c r="C252" s="473"/>
      <c r="D252" s="473"/>
      <c r="E252" s="473"/>
      <c r="F252" s="473"/>
    </row>
    <row r="253" spans="2:6" x14ac:dyDescent="0.2">
      <c r="B253" s="473"/>
      <c r="C253" s="473"/>
      <c r="D253" s="473"/>
      <c r="E253" s="473"/>
      <c r="F253" s="473"/>
    </row>
    <row r="254" spans="2:6" x14ac:dyDescent="0.2">
      <c r="B254" s="473"/>
      <c r="C254" s="473"/>
      <c r="D254" s="473"/>
      <c r="E254" s="473"/>
      <c r="F254" s="473"/>
    </row>
    <row r="255" spans="2:6" x14ac:dyDescent="0.2">
      <c r="B255" s="473"/>
      <c r="C255" s="473"/>
      <c r="D255" s="473"/>
      <c r="E255" s="473"/>
      <c r="F255" s="473"/>
    </row>
    <row r="256" spans="2:6" x14ac:dyDescent="0.2">
      <c r="B256" s="473"/>
      <c r="C256" s="473"/>
      <c r="D256" s="473"/>
      <c r="E256" s="473"/>
      <c r="F256" s="473"/>
    </row>
    <row r="257" spans="2:6" x14ac:dyDescent="0.2">
      <c r="B257" s="473"/>
      <c r="C257" s="473"/>
      <c r="D257" s="473"/>
      <c r="E257" s="473"/>
      <c r="F257" s="473"/>
    </row>
    <row r="258" spans="2:6" x14ac:dyDescent="0.2">
      <c r="B258" s="473"/>
      <c r="C258" s="473"/>
      <c r="D258" s="473"/>
      <c r="E258" s="473"/>
      <c r="F258" s="473"/>
    </row>
    <row r="259" spans="2:6" x14ac:dyDescent="0.2">
      <c r="B259" s="473"/>
      <c r="C259" s="473"/>
      <c r="D259" s="473"/>
      <c r="E259" s="473"/>
      <c r="F259" s="473"/>
    </row>
    <row r="260" spans="2:6" x14ac:dyDescent="0.2">
      <c r="B260" s="473"/>
      <c r="C260" s="473"/>
      <c r="D260" s="473"/>
      <c r="E260" s="473"/>
      <c r="F260" s="473"/>
    </row>
    <row r="261" spans="2:6" x14ac:dyDescent="0.2">
      <c r="B261" s="473"/>
      <c r="C261" s="473"/>
      <c r="D261" s="473"/>
      <c r="E261" s="473"/>
      <c r="F261" s="473"/>
    </row>
    <row r="262" spans="2:6" x14ac:dyDescent="0.2">
      <c r="B262" s="473"/>
      <c r="C262" s="473"/>
      <c r="D262" s="473"/>
      <c r="E262" s="473"/>
      <c r="F262" s="473"/>
    </row>
    <row r="263" spans="2:6" x14ac:dyDescent="0.2">
      <c r="B263" s="473"/>
      <c r="C263" s="473"/>
      <c r="D263" s="473"/>
      <c r="E263" s="473"/>
      <c r="F263" s="473"/>
    </row>
    <row r="264" spans="2:6" x14ac:dyDescent="0.2">
      <c r="B264" s="473"/>
      <c r="C264" s="473"/>
      <c r="D264" s="473"/>
      <c r="E264" s="473"/>
      <c r="F264" s="473"/>
    </row>
    <row r="265" spans="2:6" x14ac:dyDescent="0.2">
      <c r="B265" s="473"/>
      <c r="C265" s="473"/>
      <c r="D265" s="473"/>
      <c r="E265" s="473"/>
      <c r="F265" s="473"/>
    </row>
    <row r="266" spans="2:6" x14ac:dyDescent="0.2">
      <c r="B266" s="473"/>
      <c r="C266" s="473"/>
      <c r="D266" s="473"/>
      <c r="E266" s="473"/>
      <c r="F266" s="473"/>
    </row>
    <row r="267" spans="2:6" x14ac:dyDescent="0.2">
      <c r="B267" s="473"/>
      <c r="C267" s="473"/>
      <c r="D267" s="473"/>
      <c r="E267" s="473"/>
      <c r="F267" s="473"/>
    </row>
    <row r="268" spans="2:6" x14ac:dyDescent="0.2">
      <c r="B268" s="473"/>
      <c r="C268" s="473"/>
      <c r="D268" s="473"/>
      <c r="E268" s="473"/>
      <c r="F268" s="473"/>
    </row>
    <row r="269" spans="2:6" x14ac:dyDescent="0.2">
      <c r="B269" s="473"/>
      <c r="C269" s="473"/>
      <c r="D269" s="473"/>
      <c r="E269" s="473"/>
      <c r="F269" s="473"/>
    </row>
    <row r="270" spans="2:6" x14ac:dyDescent="0.2">
      <c r="B270" s="473"/>
      <c r="C270" s="473"/>
      <c r="D270" s="473"/>
      <c r="E270" s="473"/>
      <c r="F270" s="473"/>
    </row>
    <row r="271" spans="2:6" x14ac:dyDescent="0.2">
      <c r="B271" s="473"/>
      <c r="C271" s="473"/>
      <c r="D271" s="473"/>
      <c r="E271" s="473"/>
      <c r="F271" s="473"/>
    </row>
    <row r="272" spans="2:6" x14ac:dyDescent="0.2">
      <c r="B272" s="473"/>
      <c r="C272" s="473"/>
      <c r="D272" s="473"/>
      <c r="E272" s="473"/>
      <c r="F272" s="473"/>
    </row>
    <row r="273" spans="2:6" x14ac:dyDescent="0.2">
      <c r="B273" s="473"/>
      <c r="C273" s="473"/>
      <c r="D273" s="473"/>
      <c r="E273" s="473"/>
      <c r="F273" s="473"/>
    </row>
    <row r="274" spans="2:6" x14ac:dyDescent="0.2">
      <c r="B274" s="473"/>
      <c r="C274" s="473"/>
      <c r="D274" s="473"/>
      <c r="E274" s="473"/>
      <c r="F274" s="473"/>
    </row>
    <row r="275" spans="2:6" x14ac:dyDescent="0.2">
      <c r="B275" s="473"/>
      <c r="C275" s="473"/>
      <c r="D275" s="473"/>
      <c r="E275" s="473"/>
      <c r="F275" s="473"/>
    </row>
    <row r="276" spans="2:6" x14ac:dyDescent="0.2">
      <c r="B276" s="473"/>
      <c r="C276" s="473"/>
      <c r="D276" s="473"/>
      <c r="E276" s="473"/>
      <c r="F276" s="473"/>
    </row>
    <row r="277" spans="2:6" x14ac:dyDescent="0.2">
      <c r="B277" s="473"/>
      <c r="C277" s="473"/>
      <c r="D277" s="473"/>
      <c r="E277" s="473"/>
      <c r="F277" s="473"/>
    </row>
    <row r="278" spans="2:6" x14ac:dyDescent="0.2">
      <c r="B278" s="473"/>
      <c r="C278" s="473"/>
      <c r="D278" s="473"/>
      <c r="E278" s="473"/>
      <c r="F278" s="473"/>
    </row>
    <row r="279" spans="2:6" x14ac:dyDescent="0.2">
      <c r="B279" s="473"/>
      <c r="C279" s="473"/>
      <c r="D279" s="473"/>
      <c r="E279" s="473"/>
      <c r="F279" s="473"/>
    </row>
    <row r="280" spans="2:6" x14ac:dyDescent="0.2">
      <c r="B280" s="473"/>
      <c r="C280" s="473"/>
      <c r="D280" s="473"/>
      <c r="E280" s="473"/>
      <c r="F280" s="473"/>
    </row>
    <row r="281" spans="2:6" x14ac:dyDescent="0.2">
      <c r="B281" s="473"/>
      <c r="C281" s="473"/>
      <c r="D281" s="473"/>
      <c r="E281" s="473"/>
      <c r="F281" s="473"/>
    </row>
    <row r="282" spans="2:6" x14ac:dyDescent="0.2">
      <c r="B282" s="473"/>
      <c r="C282" s="473"/>
      <c r="D282" s="473"/>
      <c r="E282" s="473"/>
      <c r="F282" s="473"/>
    </row>
    <row r="283" spans="2:6" x14ac:dyDescent="0.2">
      <c r="B283" s="473"/>
      <c r="C283" s="473"/>
      <c r="D283" s="473"/>
      <c r="E283" s="473"/>
      <c r="F283" s="473"/>
    </row>
    <row r="284" spans="2:6" x14ac:dyDescent="0.2">
      <c r="B284" s="473"/>
      <c r="C284" s="473"/>
      <c r="D284" s="473"/>
      <c r="E284" s="473"/>
      <c r="F284" s="473"/>
    </row>
    <row r="285" spans="2:6" x14ac:dyDescent="0.2">
      <c r="B285" s="473"/>
      <c r="C285" s="473"/>
      <c r="D285" s="473"/>
      <c r="E285" s="473"/>
      <c r="F285" s="473"/>
    </row>
    <row r="286" spans="2:6" x14ac:dyDescent="0.2">
      <c r="B286" s="473"/>
      <c r="C286" s="473"/>
      <c r="D286" s="473"/>
      <c r="E286" s="473"/>
      <c r="F286" s="473"/>
    </row>
    <row r="287" spans="2:6" x14ac:dyDescent="0.2">
      <c r="B287" s="473"/>
      <c r="C287" s="473"/>
      <c r="D287" s="473"/>
      <c r="E287" s="473"/>
      <c r="F287" s="473"/>
    </row>
    <row r="288" spans="2:6" x14ac:dyDescent="0.2">
      <c r="B288" s="473"/>
      <c r="C288" s="473"/>
      <c r="D288" s="473"/>
      <c r="E288" s="473"/>
      <c r="F288" s="473"/>
    </row>
    <row r="289" spans="2:6" x14ac:dyDescent="0.2">
      <c r="B289" s="473"/>
      <c r="C289" s="473"/>
      <c r="D289" s="473"/>
      <c r="E289" s="473"/>
      <c r="F289" s="473"/>
    </row>
    <row r="290" spans="2:6" x14ac:dyDescent="0.2">
      <c r="B290" s="473"/>
      <c r="C290" s="473"/>
      <c r="D290" s="473"/>
      <c r="E290" s="473"/>
      <c r="F290" s="473"/>
    </row>
    <row r="291" spans="2:6" x14ac:dyDescent="0.2">
      <c r="B291" s="473"/>
      <c r="C291" s="473"/>
      <c r="D291" s="473"/>
      <c r="E291" s="473"/>
      <c r="F291" s="473"/>
    </row>
    <row r="292" spans="2:6" x14ac:dyDescent="0.2">
      <c r="B292" s="473"/>
      <c r="C292" s="473"/>
      <c r="D292" s="473"/>
      <c r="E292" s="473"/>
      <c r="F292" s="473"/>
    </row>
    <row r="293" spans="2:6" x14ac:dyDescent="0.2">
      <c r="B293" s="473"/>
      <c r="C293" s="473"/>
      <c r="D293" s="473"/>
      <c r="E293" s="473"/>
      <c r="F293" s="473"/>
    </row>
    <row r="294" spans="2:6" x14ac:dyDescent="0.2">
      <c r="B294" s="473"/>
      <c r="C294" s="473"/>
      <c r="D294" s="473"/>
      <c r="E294" s="473"/>
      <c r="F294" s="473"/>
    </row>
    <row r="295" spans="2:6" x14ac:dyDescent="0.2">
      <c r="B295" s="473"/>
      <c r="C295" s="473"/>
      <c r="D295" s="473"/>
      <c r="E295" s="473"/>
      <c r="F295" s="473"/>
    </row>
    <row r="296" spans="2:6" x14ac:dyDescent="0.2">
      <c r="B296" s="473"/>
      <c r="C296" s="473"/>
      <c r="D296" s="473"/>
      <c r="E296" s="473"/>
      <c r="F296" s="473"/>
    </row>
    <row r="297" spans="2:6" x14ac:dyDescent="0.2">
      <c r="B297" s="473"/>
      <c r="C297" s="473"/>
      <c r="D297" s="473"/>
      <c r="E297" s="473"/>
      <c r="F297" s="473"/>
    </row>
    <row r="298" spans="2:6" x14ac:dyDescent="0.2">
      <c r="B298" s="473"/>
      <c r="C298" s="473"/>
      <c r="D298" s="473"/>
      <c r="E298" s="473"/>
      <c r="F298" s="473"/>
    </row>
    <row r="299" spans="2:6" x14ac:dyDescent="0.2">
      <c r="B299" s="473"/>
      <c r="C299" s="473"/>
      <c r="D299" s="473"/>
      <c r="E299" s="473"/>
      <c r="F299" s="473"/>
    </row>
    <row r="300" spans="2:6" x14ac:dyDescent="0.2">
      <c r="B300" s="473"/>
      <c r="C300" s="473"/>
      <c r="D300" s="473"/>
      <c r="E300" s="473"/>
      <c r="F300" s="473"/>
    </row>
    <row r="301" spans="2:6" x14ac:dyDescent="0.2">
      <c r="B301" s="473"/>
      <c r="C301" s="473"/>
      <c r="D301" s="473"/>
      <c r="E301" s="473"/>
      <c r="F301" s="473"/>
    </row>
    <row r="302" spans="2:6" x14ac:dyDescent="0.2">
      <c r="B302" s="473"/>
      <c r="C302" s="473"/>
      <c r="D302" s="473"/>
      <c r="E302" s="473"/>
      <c r="F302" s="473"/>
    </row>
    <row r="303" spans="2:6" x14ac:dyDescent="0.2">
      <c r="B303" s="473"/>
      <c r="C303" s="473"/>
      <c r="D303" s="473"/>
      <c r="E303" s="473"/>
      <c r="F303" s="473"/>
    </row>
    <row r="304" spans="2:6" x14ac:dyDescent="0.2">
      <c r="B304" s="473"/>
      <c r="C304" s="473"/>
      <c r="D304" s="473"/>
      <c r="E304" s="473"/>
      <c r="F304" s="473"/>
    </row>
    <row r="305" spans="2:6" x14ac:dyDescent="0.2">
      <c r="B305" s="473"/>
      <c r="C305" s="473"/>
      <c r="D305" s="473"/>
      <c r="E305" s="473"/>
      <c r="F305" s="473"/>
    </row>
    <row r="306" spans="2:6" x14ac:dyDescent="0.2">
      <c r="B306" s="473"/>
      <c r="C306" s="473"/>
      <c r="D306" s="473"/>
      <c r="E306" s="473"/>
      <c r="F306" s="473"/>
    </row>
    <row r="307" spans="2:6" x14ac:dyDescent="0.2">
      <c r="B307" s="473"/>
      <c r="C307" s="473"/>
      <c r="D307" s="473"/>
      <c r="E307" s="473"/>
      <c r="F307" s="473"/>
    </row>
    <row r="308" spans="2:6" x14ac:dyDescent="0.2">
      <c r="B308" s="473"/>
      <c r="C308" s="473"/>
      <c r="D308" s="473"/>
      <c r="E308" s="473"/>
      <c r="F308" s="473"/>
    </row>
    <row r="309" spans="2:6" x14ac:dyDescent="0.2">
      <c r="B309" s="473"/>
      <c r="C309" s="473"/>
      <c r="D309" s="473"/>
      <c r="E309" s="473"/>
      <c r="F309" s="473"/>
    </row>
    <row r="310" spans="2:6" x14ac:dyDescent="0.2">
      <c r="B310" s="473"/>
      <c r="C310" s="473"/>
      <c r="D310" s="473"/>
      <c r="E310" s="473"/>
      <c r="F310" s="473"/>
    </row>
    <row r="311" spans="2:6" x14ac:dyDescent="0.2">
      <c r="B311" s="473"/>
      <c r="C311" s="473"/>
      <c r="D311" s="473"/>
      <c r="E311" s="473"/>
      <c r="F311" s="473"/>
    </row>
    <row r="312" spans="2:6" x14ac:dyDescent="0.2">
      <c r="B312" s="473"/>
      <c r="C312" s="473"/>
      <c r="D312" s="473"/>
      <c r="E312" s="473"/>
      <c r="F312" s="473"/>
    </row>
    <row r="313" spans="2:6" x14ac:dyDescent="0.2">
      <c r="B313" s="473"/>
      <c r="C313" s="473"/>
      <c r="D313" s="473"/>
      <c r="E313" s="473"/>
      <c r="F313" s="473"/>
    </row>
    <row r="314" spans="2:6" x14ac:dyDescent="0.2">
      <c r="B314" s="473"/>
      <c r="C314" s="473"/>
      <c r="D314" s="473"/>
      <c r="E314" s="473"/>
      <c r="F314" s="473"/>
    </row>
    <row r="315" spans="2:6" x14ac:dyDescent="0.2">
      <c r="B315" s="473"/>
      <c r="C315" s="473"/>
      <c r="D315" s="473"/>
      <c r="E315" s="473"/>
      <c r="F315" s="473"/>
    </row>
    <row r="316" spans="2:6" x14ac:dyDescent="0.2">
      <c r="B316" s="473"/>
      <c r="C316" s="473"/>
      <c r="D316" s="473"/>
      <c r="E316" s="473"/>
      <c r="F316" s="473"/>
    </row>
    <row r="317" spans="2:6" x14ac:dyDescent="0.2">
      <c r="B317" s="473"/>
      <c r="C317" s="473"/>
      <c r="D317" s="473"/>
      <c r="E317" s="473"/>
      <c r="F317" s="473"/>
    </row>
    <row r="318" spans="2:6" x14ac:dyDescent="0.2">
      <c r="B318" s="473"/>
      <c r="C318" s="473"/>
      <c r="D318" s="473"/>
      <c r="E318" s="473"/>
      <c r="F318" s="473"/>
    </row>
    <row r="319" spans="2:6" x14ac:dyDescent="0.2">
      <c r="B319" s="473"/>
      <c r="C319" s="473"/>
      <c r="D319" s="473"/>
      <c r="E319" s="473"/>
      <c r="F319" s="473"/>
    </row>
    <row r="320" spans="2:6" x14ac:dyDescent="0.2">
      <c r="B320" s="473"/>
      <c r="C320" s="473"/>
      <c r="D320" s="473"/>
      <c r="E320" s="473"/>
      <c r="F320" s="473"/>
    </row>
    <row r="321" spans="2:6" x14ac:dyDescent="0.2">
      <c r="B321" s="473"/>
      <c r="C321" s="473"/>
      <c r="D321" s="473"/>
      <c r="E321" s="473"/>
      <c r="F321" s="473"/>
    </row>
    <row r="322" spans="2:6" x14ac:dyDescent="0.2">
      <c r="B322" s="473"/>
      <c r="C322" s="473"/>
      <c r="D322" s="473"/>
      <c r="E322" s="473"/>
      <c r="F322" s="473"/>
    </row>
    <row r="323" spans="2:6" x14ac:dyDescent="0.2">
      <c r="B323" s="473"/>
      <c r="C323" s="473"/>
      <c r="D323" s="473"/>
      <c r="E323" s="473"/>
      <c r="F323" s="473"/>
    </row>
    <row r="324" spans="2:6" x14ac:dyDescent="0.2">
      <c r="B324" s="473"/>
      <c r="C324" s="473"/>
      <c r="D324" s="473"/>
      <c r="E324" s="473"/>
      <c r="F324" s="473"/>
    </row>
    <row r="325" spans="2:6" x14ac:dyDescent="0.2">
      <c r="B325" s="473"/>
      <c r="C325" s="473"/>
      <c r="D325" s="473"/>
      <c r="E325" s="473"/>
      <c r="F325" s="473"/>
    </row>
    <row r="326" spans="2:6" x14ac:dyDescent="0.2">
      <c r="B326" s="473"/>
      <c r="C326" s="473"/>
      <c r="D326" s="473"/>
      <c r="E326" s="473"/>
      <c r="F326" s="473"/>
    </row>
    <row r="327" spans="2:6" x14ac:dyDescent="0.2">
      <c r="B327" s="473"/>
      <c r="C327" s="473"/>
      <c r="D327" s="473"/>
      <c r="E327" s="473"/>
      <c r="F327" s="473"/>
    </row>
    <row r="328" spans="2:6" x14ac:dyDescent="0.2">
      <c r="B328" s="473"/>
      <c r="C328" s="473"/>
      <c r="D328" s="473"/>
      <c r="E328" s="473"/>
      <c r="F328" s="473"/>
    </row>
    <row r="329" spans="2:6" x14ac:dyDescent="0.2">
      <c r="B329" s="473"/>
      <c r="C329" s="473"/>
      <c r="D329" s="473"/>
      <c r="E329" s="473"/>
      <c r="F329" s="473"/>
    </row>
    <row r="330" spans="2:6" x14ac:dyDescent="0.2">
      <c r="B330" s="473"/>
      <c r="C330" s="473"/>
      <c r="D330" s="473"/>
      <c r="E330" s="473"/>
      <c r="F330" s="473"/>
    </row>
    <row r="331" spans="2:6" x14ac:dyDescent="0.2">
      <c r="B331" s="473"/>
      <c r="C331" s="473"/>
      <c r="D331" s="473"/>
      <c r="E331" s="473"/>
      <c r="F331" s="473"/>
    </row>
    <row r="332" spans="2:6" x14ac:dyDescent="0.2">
      <c r="B332" s="473"/>
      <c r="C332" s="473"/>
      <c r="D332" s="473"/>
      <c r="E332" s="473"/>
      <c r="F332" s="473"/>
    </row>
    <row r="333" spans="2:6" x14ac:dyDescent="0.2">
      <c r="B333" s="473"/>
      <c r="C333" s="473"/>
      <c r="D333" s="473"/>
      <c r="E333" s="473"/>
      <c r="F333" s="473"/>
    </row>
    <row r="334" spans="2:6" x14ac:dyDescent="0.2">
      <c r="B334" s="473"/>
      <c r="C334" s="473"/>
      <c r="D334" s="473"/>
      <c r="E334" s="473"/>
      <c r="F334" s="473"/>
    </row>
    <row r="335" spans="2:6" x14ac:dyDescent="0.2">
      <c r="B335" s="473"/>
      <c r="C335" s="473"/>
      <c r="D335" s="473"/>
      <c r="E335" s="473"/>
      <c r="F335" s="473"/>
    </row>
    <row r="336" spans="2:6" x14ac:dyDescent="0.2">
      <c r="B336" s="473"/>
      <c r="C336" s="473"/>
      <c r="D336" s="473"/>
      <c r="E336" s="473"/>
      <c r="F336" s="473"/>
    </row>
    <row r="337" spans="2:6" x14ac:dyDescent="0.2">
      <c r="B337" s="473"/>
      <c r="C337" s="473"/>
      <c r="D337" s="473"/>
      <c r="E337" s="473"/>
      <c r="F337" s="473"/>
    </row>
    <row r="338" spans="2:6" x14ac:dyDescent="0.2">
      <c r="B338" s="473"/>
      <c r="C338" s="473"/>
      <c r="D338" s="473"/>
      <c r="E338" s="473"/>
      <c r="F338" s="473"/>
    </row>
    <row r="339" spans="2:6" x14ac:dyDescent="0.2">
      <c r="B339" s="473"/>
      <c r="C339" s="473"/>
      <c r="D339" s="473"/>
      <c r="E339" s="473"/>
      <c r="F339" s="473"/>
    </row>
    <row r="340" spans="2:6" x14ac:dyDescent="0.2">
      <c r="B340" s="473"/>
      <c r="C340" s="473"/>
      <c r="D340" s="473"/>
      <c r="E340" s="473"/>
      <c r="F340" s="473"/>
    </row>
    <row r="341" spans="2:6" x14ac:dyDescent="0.2">
      <c r="B341" s="473"/>
      <c r="C341" s="473"/>
      <c r="D341" s="473"/>
      <c r="E341" s="473"/>
      <c r="F341" s="473"/>
    </row>
    <row r="342" spans="2:6" x14ac:dyDescent="0.2">
      <c r="B342" s="473"/>
      <c r="C342" s="473"/>
      <c r="D342" s="473"/>
      <c r="E342" s="473"/>
      <c r="F342" s="473"/>
    </row>
    <row r="343" spans="2:6" x14ac:dyDescent="0.2">
      <c r="B343" s="473"/>
      <c r="C343" s="473"/>
      <c r="D343" s="473"/>
      <c r="E343" s="473"/>
      <c r="F343" s="473"/>
    </row>
    <row r="344" spans="2:6" x14ac:dyDescent="0.2">
      <c r="B344" s="473"/>
      <c r="C344" s="473"/>
      <c r="D344" s="473"/>
      <c r="E344" s="473"/>
      <c r="F344" s="473"/>
    </row>
    <row r="345" spans="2:6" x14ac:dyDescent="0.2">
      <c r="B345" s="473"/>
      <c r="C345" s="473"/>
      <c r="D345" s="473"/>
      <c r="E345" s="473"/>
      <c r="F345" s="473"/>
    </row>
    <row r="346" spans="2:6" x14ac:dyDescent="0.2">
      <c r="B346" s="473"/>
      <c r="C346" s="473"/>
      <c r="D346" s="473"/>
      <c r="E346" s="473"/>
      <c r="F346" s="473"/>
    </row>
    <row r="347" spans="2:6" x14ac:dyDescent="0.2">
      <c r="B347" s="473"/>
      <c r="C347" s="473"/>
      <c r="D347" s="473"/>
      <c r="E347" s="473"/>
      <c r="F347" s="473"/>
    </row>
    <row r="348" spans="2:6" x14ac:dyDescent="0.2">
      <c r="B348" s="473"/>
      <c r="C348" s="473"/>
      <c r="D348" s="473"/>
      <c r="E348" s="473"/>
      <c r="F348" s="473"/>
    </row>
    <row r="349" spans="2:6" x14ac:dyDescent="0.2">
      <c r="B349" s="473"/>
      <c r="C349" s="473"/>
      <c r="D349" s="473"/>
      <c r="E349" s="473"/>
      <c r="F349" s="473"/>
    </row>
    <row r="350" spans="2:6" x14ac:dyDescent="0.2">
      <c r="B350" s="473"/>
      <c r="C350" s="473"/>
      <c r="D350" s="473"/>
      <c r="E350" s="473"/>
      <c r="F350" s="473"/>
    </row>
    <row r="351" spans="2:6" x14ac:dyDescent="0.2">
      <c r="B351" s="473"/>
      <c r="C351" s="473"/>
      <c r="D351" s="473"/>
      <c r="E351" s="473"/>
      <c r="F351" s="473"/>
    </row>
    <row r="352" spans="2:6" x14ac:dyDescent="0.2">
      <c r="B352" s="473"/>
      <c r="C352" s="473"/>
      <c r="D352" s="473"/>
      <c r="E352" s="473"/>
      <c r="F352" s="473"/>
    </row>
    <row r="353" spans="2:6" x14ac:dyDescent="0.2">
      <c r="B353" s="473"/>
      <c r="C353" s="473"/>
      <c r="D353" s="473"/>
      <c r="E353" s="473"/>
      <c r="F353" s="473"/>
    </row>
    <row r="354" spans="2:6" x14ac:dyDescent="0.2">
      <c r="B354" s="473"/>
      <c r="C354" s="473"/>
      <c r="D354" s="473"/>
      <c r="E354" s="473"/>
      <c r="F354" s="473"/>
    </row>
    <row r="355" spans="2:6" x14ac:dyDescent="0.2">
      <c r="B355" s="473"/>
      <c r="C355" s="473"/>
      <c r="D355" s="473"/>
      <c r="E355" s="473"/>
      <c r="F355" s="473"/>
    </row>
    <row r="356" spans="2:6" x14ac:dyDescent="0.2">
      <c r="B356" s="473"/>
      <c r="C356" s="473"/>
      <c r="D356" s="473"/>
      <c r="E356" s="473"/>
      <c r="F356" s="473"/>
    </row>
    <row r="357" spans="2:6" x14ac:dyDescent="0.2">
      <c r="B357" s="473"/>
      <c r="C357" s="473"/>
      <c r="D357" s="473"/>
      <c r="E357" s="473"/>
      <c r="F357" s="473"/>
    </row>
    <row r="358" spans="2:6" x14ac:dyDescent="0.2">
      <c r="B358" s="473"/>
      <c r="C358" s="473"/>
      <c r="D358" s="473"/>
      <c r="E358" s="473"/>
      <c r="F358" s="473"/>
    </row>
    <row r="359" spans="2:6" x14ac:dyDescent="0.2">
      <c r="B359" s="473"/>
      <c r="C359" s="473"/>
      <c r="D359" s="473"/>
      <c r="E359" s="473"/>
      <c r="F359" s="473"/>
    </row>
    <row r="360" spans="2:6" x14ac:dyDescent="0.2">
      <c r="B360" s="473"/>
      <c r="C360" s="473"/>
      <c r="D360" s="473"/>
      <c r="E360" s="473"/>
      <c r="F360" s="473"/>
    </row>
    <row r="361" spans="2:6" x14ac:dyDescent="0.2">
      <c r="B361" s="473"/>
      <c r="C361" s="473"/>
      <c r="D361" s="473"/>
      <c r="E361" s="473"/>
      <c r="F361" s="473"/>
    </row>
    <row r="362" spans="2:6" x14ac:dyDescent="0.2">
      <c r="B362" s="473"/>
      <c r="C362" s="473"/>
      <c r="D362" s="473"/>
      <c r="E362" s="473"/>
      <c r="F362" s="473"/>
    </row>
    <row r="363" spans="2:6" x14ac:dyDescent="0.2">
      <c r="B363" s="473"/>
      <c r="C363" s="473"/>
      <c r="D363" s="473"/>
      <c r="E363" s="473"/>
      <c r="F363" s="473"/>
    </row>
    <row r="364" spans="2:6" x14ac:dyDescent="0.2">
      <c r="B364" s="473"/>
      <c r="C364" s="473"/>
      <c r="D364" s="473"/>
      <c r="E364" s="473"/>
      <c r="F364" s="473"/>
    </row>
    <row r="365" spans="2:6" x14ac:dyDescent="0.2">
      <c r="B365" s="473"/>
      <c r="C365" s="473"/>
      <c r="D365" s="473"/>
      <c r="E365" s="473"/>
      <c r="F365" s="473"/>
    </row>
    <row r="366" spans="2:6" x14ac:dyDescent="0.2">
      <c r="B366" s="473"/>
      <c r="C366" s="473"/>
      <c r="D366" s="473"/>
      <c r="E366" s="473"/>
      <c r="F366" s="473"/>
    </row>
    <row r="367" spans="2:6" x14ac:dyDescent="0.2">
      <c r="B367" s="473"/>
      <c r="C367" s="473"/>
      <c r="D367" s="473"/>
      <c r="E367" s="473"/>
      <c r="F367" s="473"/>
    </row>
    <row r="368" spans="2:6" x14ac:dyDescent="0.2">
      <c r="B368" s="473"/>
      <c r="C368" s="473"/>
      <c r="D368" s="473"/>
      <c r="E368" s="473"/>
      <c r="F368" s="473"/>
    </row>
    <row r="369" spans="2:6" x14ac:dyDescent="0.2">
      <c r="B369" s="473"/>
      <c r="C369" s="473"/>
      <c r="D369" s="473"/>
      <c r="E369" s="473"/>
      <c r="F369" s="473"/>
    </row>
    <row r="370" spans="2:6" x14ac:dyDescent="0.2">
      <c r="B370" s="473"/>
      <c r="C370" s="473"/>
      <c r="D370" s="473"/>
      <c r="E370" s="473"/>
      <c r="F370" s="473"/>
    </row>
    <row r="371" spans="2:6" x14ac:dyDescent="0.2">
      <c r="B371" s="473"/>
      <c r="C371" s="473"/>
      <c r="D371" s="473"/>
      <c r="E371" s="473"/>
      <c r="F371" s="473"/>
    </row>
    <row r="372" spans="2:6" x14ac:dyDescent="0.2">
      <c r="B372" s="473"/>
      <c r="C372" s="473"/>
      <c r="D372" s="473"/>
      <c r="E372" s="473"/>
      <c r="F372" s="473"/>
    </row>
    <row r="373" spans="2:6" x14ac:dyDescent="0.2">
      <c r="B373" s="473"/>
      <c r="C373" s="473"/>
      <c r="D373" s="473"/>
      <c r="E373" s="473"/>
      <c r="F373" s="473"/>
    </row>
    <row r="374" spans="2:6" x14ac:dyDescent="0.2">
      <c r="B374" s="473"/>
      <c r="C374" s="473"/>
      <c r="D374" s="473"/>
      <c r="E374" s="473"/>
      <c r="F374" s="473"/>
    </row>
    <row r="375" spans="2:6" x14ac:dyDescent="0.2">
      <c r="B375" s="473"/>
      <c r="C375" s="473"/>
      <c r="D375" s="473"/>
      <c r="E375" s="473"/>
      <c r="F375" s="473"/>
    </row>
    <row r="376" spans="2:6" x14ac:dyDescent="0.2">
      <c r="B376" s="473"/>
      <c r="C376" s="473"/>
      <c r="D376" s="473"/>
      <c r="E376" s="473"/>
      <c r="F376" s="473"/>
    </row>
    <row r="377" spans="2:6" x14ac:dyDescent="0.2">
      <c r="B377" s="473"/>
      <c r="C377" s="473"/>
      <c r="D377" s="473"/>
      <c r="E377" s="473"/>
      <c r="F377" s="473"/>
    </row>
    <row r="378" spans="2:6" x14ac:dyDescent="0.2">
      <c r="B378" s="473"/>
      <c r="C378" s="473"/>
      <c r="D378" s="473"/>
      <c r="E378" s="473"/>
      <c r="F378" s="473"/>
    </row>
    <row r="379" spans="2:6" x14ac:dyDescent="0.2">
      <c r="B379" s="473"/>
      <c r="C379" s="473"/>
      <c r="D379" s="473"/>
      <c r="E379" s="473"/>
      <c r="F379" s="473"/>
    </row>
    <row r="380" spans="2:6" x14ac:dyDescent="0.2">
      <c r="B380" s="473"/>
      <c r="C380" s="473"/>
      <c r="D380" s="473"/>
      <c r="E380" s="473"/>
      <c r="F380" s="473"/>
    </row>
    <row r="381" spans="2:6" x14ac:dyDescent="0.2">
      <c r="B381" s="473"/>
      <c r="C381" s="473"/>
      <c r="D381" s="473"/>
      <c r="E381" s="473"/>
      <c r="F381" s="473"/>
    </row>
    <row r="382" spans="2:6" x14ac:dyDescent="0.2">
      <c r="B382" s="473"/>
      <c r="C382" s="473"/>
      <c r="D382" s="473"/>
      <c r="E382" s="473"/>
      <c r="F382" s="473"/>
    </row>
    <row r="383" spans="2:6" x14ac:dyDescent="0.2">
      <c r="B383" s="473"/>
      <c r="C383" s="473"/>
      <c r="D383" s="473"/>
      <c r="E383" s="473"/>
      <c r="F383" s="473"/>
    </row>
    <row r="384" spans="2:6" x14ac:dyDescent="0.2">
      <c r="B384" s="473"/>
      <c r="C384" s="473"/>
      <c r="D384" s="473"/>
      <c r="E384" s="473"/>
      <c r="F384" s="473"/>
    </row>
    <row r="385" spans="2:6" x14ac:dyDescent="0.2">
      <c r="B385" s="473"/>
      <c r="C385" s="473"/>
      <c r="D385" s="473"/>
      <c r="E385" s="473"/>
      <c r="F385" s="473"/>
    </row>
    <row r="386" spans="2:6" x14ac:dyDescent="0.2">
      <c r="B386" s="473"/>
      <c r="C386" s="473"/>
      <c r="D386" s="473"/>
      <c r="E386" s="473"/>
      <c r="F386" s="473"/>
    </row>
    <row r="387" spans="2:6" x14ac:dyDescent="0.2">
      <c r="B387" s="473"/>
      <c r="C387" s="473"/>
      <c r="D387" s="473"/>
      <c r="E387" s="473"/>
      <c r="F387" s="473"/>
    </row>
    <row r="388" spans="2:6" x14ac:dyDescent="0.2">
      <c r="B388" s="473"/>
      <c r="C388" s="473"/>
      <c r="D388" s="473"/>
      <c r="E388" s="473"/>
      <c r="F388" s="473"/>
    </row>
    <row r="389" spans="2:6" x14ac:dyDescent="0.2">
      <c r="B389" s="473"/>
      <c r="C389" s="473"/>
      <c r="D389" s="473"/>
      <c r="E389" s="473"/>
      <c r="F389" s="473"/>
    </row>
    <row r="390" spans="2:6" x14ac:dyDescent="0.2">
      <c r="B390" s="473"/>
      <c r="C390" s="473"/>
      <c r="D390" s="473"/>
      <c r="E390" s="473"/>
      <c r="F390" s="473"/>
    </row>
    <row r="391" spans="2:6" x14ac:dyDescent="0.2">
      <c r="B391" s="473"/>
      <c r="C391" s="473"/>
      <c r="D391" s="473"/>
      <c r="E391" s="473"/>
      <c r="F391" s="473"/>
    </row>
    <row r="392" spans="2:6" x14ac:dyDescent="0.2">
      <c r="B392" s="473"/>
      <c r="C392" s="473"/>
      <c r="D392" s="473"/>
      <c r="E392" s="473"/>
      <c r="F392" s="473"/>
    </row>
    <row r="393" spans="2:6" x14ac:dyDescent="0.2">
      <c r="B393" s="473"/>
      <c r="C393" s="473"/>
      <c r="D393" s="473"/>
      <c r="E393" s="473"/>
      <c r="F393" s="473"/>
    </row>
    <row r="394" spans="2:6" x14ac:dyDescent="0.2">
      <c r="B394" s="473"/>
      <c r="C394" s="473"/>
      <c r="D394" s="473"/>
      <c r="E394" s="473"/>
      <c r="F394" s="473"/>
    </row>
    <row r="395" spans="2:6" x14ac:dyDescent="0.2">
      <c r="B395" s="473"/>
      <c r="C395" s="473"/>
      <c r="D395" s="473"/>
      <c r="E395" s="473"/>
      <c r="F395" s="473"/>
    </row>
    <row r="396" spans="2:6" x14ac:dyDescent="0.2">
      <c r="B396" s="473"/>
      <c r="C396" s="473"/>
      <c r="D396" s="473"/>
      <c r="E396" s="473"/>
      <c r="F396" s="473"/>
    </row>
    <row r="397" spans="2:6" x14ac:dyDescent="0.2">
      <c r="B397" s="473"/>
      <c r="C397" s="473"/>
      <c r="D397" s="473"/>
      <c r="E397" s="473"/>
      <c r="F397" s="473"/>
    </row>
    <row r="398" spans="2:6" x14ac:dyDescent="0.2">
      <c r="B398" s="473"/>
      <c r="C398" s="473"/>
      <c r="D398" s="473"/>
      <c r="E398" s="473"/>
      <c r="F398" s="473"/>
    </row>
    <row r="399" spans="2:6" x14ac:dyDescent="0.2">
      <c r="B399" s="473"/>
      <c r="C399" s="473"/>
      <c r="D399" s="473"/>
      <c r="E399" s="473"/>
      <c r="F399" s="473"/>
    </row>
    <row r="400" spans="2:6" x14ac:dyDescent="0.2">
      <c r="B400" s="473"/>
      <c r="C400" s="473"/>
      <c r="D400" s="473"/>
      <c r="E400" s="473"/>
      <c r="F400" s="473"/>
    </row>
    <row r="401" spans="2:6" x14ac:dyDescent="0.2">
      <c r="B401" s="473"/>
      <c r="C401" s="473"/>
      <c r="D401" s="473"/>
      <c r="E401" s="473"/>
      <c r="F401" s="473"/>
    </row>
    <row r="402" spans="2:6" x14ac:dyDescent="0.2">
      <c r="B402" s="473"/>
      <c r="C402" s="473"/>
      <c r="D402" s="473"/>
      <c r="E402" s="473"/>
      <c r="F402" s="473"/>
    </row>
    <row r="403" spans="2:6" x14ac:dyDescent="0.2">
      <c r="B403" s="473"/>
      <c r="C403" s="473"/>
      <c r="D403" s="473"/>
      <c r="E403" s="473"/>
      <c r="F403" s="473"/>
    </row>
    <row r="404" spans="2:6" x14ac:dyDescent="0.2">
      <c r="B404" s="473"/>
      <c r="C404" s="473"/>
      <c r="D404" s="473"/>
      <c r="E404" s="473"/>
      <c r="F404" s="473"/>
    </row>
    <row r="405" spans="2:6" x14ac:dyDescent="0.2">
      <c r="B405" s="473"/>
      <c r="C405" s="473"/>
      <c r="D405" s="473"/>
      <c r="E405" s="473"/>
      <c r="F405" s="473"/>
    </row>
    <row r="406" spans="2:6" x14ac:dyDescent="0.2">
      <c r="B406" s="473"/>
      <c r="C406" s="473"/>
      <c r="D406" s="473"/>
      <c r="E406" s="473"/>
      <c r="F406" s="473"/>
    </row>
    <row r="407" spans="2:6" x14ac:dyDescent="0.2">
      <c r="B407" s="473"/>
      <c r="C407" s="473"/>
      <c r="D407" s="473"/>
      <c r="E407" s="473"/>
      <c r="F407" s="473"/>
    </row>
    <row r="408" spans="2:6" x14ac:dyDescent="0.2">
      <c r="B408" s="473"/>
      <c r="C408" s="473"/>
      <c r="D408" s="473"/>
      <c r="E408" s="473"/>
      <c r="F408" s="473"/>
    </row>
    <row r="409" spans="2:6" x14ac:dyDescent="0.2">
      <c r="B409" s="473"/>
      <c r="C409" s="473"/>
      <c r="D409" s="473"/>
      <c r="E409" s="473"/>
      <c r="F409" s="473"/>
    </row>
    <row r="410" spans="2:6" x14ac:dyDescent="0.2">
      <c r="B410" s="473"/>
      <c r="C410" s="473"/>
      <c r="D410" s="473"/>
      <c r="E410" s="473"/>
      <c r="F410" s="473"/>
    </row>
    <row r="411" spans="2:6" x14ac:dyDescent="0.2">
      <c r="B411" s="473"/>
      <c r="C411" s="473"/>
      <c r="D411" s="473"/>
      <c r="E411" s="473"/>
      <c r="F411" s="473"/>
    </row>
    <row r="412" spans="2:6" x14ac:dyDescent="0.2">
      <c r="B412" s="473"/>
      <c r="C412" s="473"/>
      <c r="D412" s="473"/>
      <c r="E412" s="473"/>
      <c r="F412" s="473"/>
    </row>
    <row r="413" spans="2:6" x14ac:dyDescent="0.2">
      <c r="B413" s="473"/>
      <c r="C413" s="473"/>
      <c r="D413" s="473"/>
      <c r="E413" s="473"/>
      <c r="F413" s="473"/>
    </row>
    <row r="414" spans="2:6" x14ac:dyDescent="0.2">
      <c r="B414" s="473"/>
      <c r="C414" s="473"/>
      <c r="D414" s="473"/>
      <c r="E414" s="473"/>
      <c r="F414" s="473"/>
    </row>
    <row r="415" spans="2:6" x14ac:dyDescent="0.2">
      <c r="B415" s="473"/>
      <c r="C415" s="473"/>
      <c r="D415" s="473"/>
      <c r="E415" s="473"/>
      <c r="F415" s="473"/>
    </row>
    <row r="416" spans="2:6" x14ac:dyDescent="0.2">
      <c r="B416" s="473"/>
      <c r="C416" s="473"/>
      <c r="D416" s="473"/>
      <c r="E416" s="473"/>
      <c r="F416" s="473"/>
    </row>
    <row r="417" spans="2:6" x14ac:dyDescent="0.2">
      <c r="B417" s="473"/>
      <c r="C417" s="473"/>
      <c r="D417" s="473"/>
      <c r="E417" s="473"/>
      <c r="F417" s="473"/>
    </row>
    <row r="418" spans="2:6" x14ac:dyDescent="0.2">
      <c r="B418" s="473"/>
      <c r="C418" s="473"/>
      <c r="D418" s="473"/>
      <c r="E418" s="473"/>
      <c r="F418" s="473"/>
    </row>
    <row r="419" spans="2:6" x14ac:dyDescent="0.2">
      <c r="B419" s="473"/>
      <c r="C419" s="473"/>
      <c r="D419" s="473"/>
      <c r="E419" s="473"/>
      <c r="F419" s="473"/>
    </row>
    <row r="420" spans="2:6" x14ac:dyDescent="0.2">
      <c r="B420" s="473"/>
      <c r="C420" s="473"/>
      <c r="D420" s="473"/>
      <c r="E420" s="473"/>
      <c r="F420" s="473"/>
    </row>
    <row r="421" spans="2:6" x14ac:dyDescent="0.2">
      <c r="B421" s="473"/>
      <c r="C421" s="473"/>
      <c r="D421" s="473"/>
      <c r="E421" s="473"/>
      <c r="F421" s="473"/>
    </row>
    <row r="422" spans="2:6" x14ac:dyDescent="0.2">
      <c r="B422" s="473"/>
      <c r="C422" s="473"/>
      <c r="D422" s="473"/>
      <c r="E422" s="473"/>
      <c r="F422" s="473"/>
    </row>
    <row r="423" spans="2:6" x14ac:dyDescent="0.2">
      <c r="B423" s="473"/>
      <c r="C423" s="473"/>
      <c r="D423" s="473"/>
      <c r="E423" s="473"/>
      <c r="F423" s="473"/>
    </row>
    <row r="424" spans="2:6" x14ac:dyDescent="0.2">
      <c r="B424" s="473"/>
      <c r="C424" s="473"/>
      <c r="D424" s="473"/>
      <c r="E424" s="473"/>
      <c r="F424" s="473"/>
    </row>
    <row r="425" spans="2:6" x14ac:dyDescent="0.2">
      <c r="B425" s="473"/>
      <c r="C425" s="473"/>
      <c r="D425" s="473"/>
      <c r="E425" s="473"/>
      <c r="F425" s="473"/>
    </row>
    <row r="426" spans="2:6" x14ac:dyDescent="0.2">
      <c r="B426" s="473"/>
      <c r="C426" s="473"/>
      <c r="D426" s="473"/>
      <c r="E426" s="473"/>
      <c r="F426" s="473"/>
    </row>
    <row r="427" spans="2:6" x14ac:dyDescent="0.2">
      <c r="B427" s="473"/>
      <c r="C427" s="473"/>
      <c r="D427" s="473"/>
      <c r="E427" s="473"/>
      <c r="F427" s="473"/>
    </row>
    <row r="428" spans="2:6" x14ac:dyDescent="0.2">
      <c r="B428" s="473"/>
      <c r="C428" s="473"/>
      <c r="D428" s="473"/>
      <c r="E428" s="473"/>
      <c r="F428" s="473"/>
    </row>
    <row r="429" spans="2:6" x14ac:dyDescent="0.2">
      <c r="B429" s="473"/>
      <c r="C429" s="473"/>
      <c r="D429" s="473"/>
      <c r="E429" s="473"/>
      <c r="F429" s="473"/>
    </row>
    <row r="430" spans="2:6" x14ac:dyDescent="0.2">
      <c r="B430" s="473"/>
      <c r="C430" s="473"/>
      <c r="D430" s="473"/>
      <c r="E430" s="473"/>
      <c r="F430" s="473"/>
    </row>
    <row r="431" spans="2:6" x14ac:dyDescent="0.2">
      <c r="B431" s="473"/>
      <c r="C431" s="473"/>
      <c r="D431" s="473"/>
      <c r="E431" s="473"/>
      <c r="F431" s="473"/>
    </row>
    <row r="432" spans="2:6" x14ac:dyDescent="0.2">
      <c r="B432" s="473"/>
      <c r="C432" s="473"/>
      <c r="D432" s="473"/>
      <c r="E432" s="473"/>
      <c r="F432" s="473"/>
    </row>
    <row r="433" spans="2:6" x14ac:dyDescent="0.2">
      <c r="B433" s="473"/>
      <c r="C433" s="473"/>
      <c r="D433" s="473"/>
      <c r="E433" s="473"/>
      <c r="F433" s="473"/>
    </row>
    <row r="434" spans="2:6" x14ac:dyDescent="0.2">
      <c r="B434" s="473"/>
      <c r="C434" s="473"/>
      <c r="D434" s="473"/>
      <c r="E434" s="473"/>
      <c r="F434" s="473"/>
    </row>
    <row r="435" spans="2:6" x14ac:dyDescent="0.2">
      <c r="B435" s="473"/>
      <c r="C435" s="473"/>
      <c r="D435" s="473"/>
      <c r="E435" s="473"/>
      <c r="F435" s="473"/>
    </row>
    <row r="436" spans="2:6" x14ac:dyDescent="0.2">
      <c r="B436" s="473"/>
      <c r="C436" s="473"/>
      <c r="D436" s="473"/>
      <c r="E436" s="473"/>
      <c r="F436" s="473"/>
    </row>
    <row r="437" spans="2:6" x14ac:dyDescent="0.2">
      <c r="B437" s="473"/>
      <c r="C437" s="473"/>
      <c r="D437" s="473"/>
      <c r="E437" s="473"/>
      <c r="F437" s="473"/>
    </row>
    <row r="438" spans="2:6" x14ac:dyDescent="0.2">
      <c r="B438" s="473"/>
      <c r="C438" s="473"/>
      <c r="D438" s="473"/>
      <c r="E438" s="473"/>
      <c r="F438" s="473"/>
    </row>
    <row r="439" spans="2:6" x14ac:dyDescent="0.2">
      <c r="B439" s="473"/>
      <c r="C439" s="473"/>
      <c r="D439" s="473"/>
      <c r="E439" s="473"/>
      <c r="F439" s="473"/>
    </row>
    <row r="440" spans="2:6" x14ac:dyDescent="0.2">
      <c r="B440" s="473"/>
      <c r="C440" s="473"/>
      <c r="D440" s="473"/>
      <c r="E440" s="473"/>
      <c r="F440" s="473"/>
    </row>
    <row r="441" spans="2:6" x14ac:dyDescent="0.2">
      <c r="B441" s="473"/>
      <c r="C441" s="473"/>
      <c r="D441" s="473"/>
      <c r="E441" s="473"/>
      <c r="F441" s="473"/>
    </row>
    <row r="442" spans="2:6" x14ac:dyDescent="0.2">
      <c r="B442" s="473"/>
      <c r="C442" s="473"/>
      <c r="D442" s="473"/>
      <c r="E442" s="473"/>
      <c r="F442" s="473"/>
    </row>
    <row r="443" spans="2:6" x14ac:dyDescent="0.2">
      <c r="B443" s="473"/>
      <c r="C443" s="473"/>
      <c r="D443" s="473"/>
      <c r="E443" s="473"/>
      <c r="F443" s="473"/>
    </row>
    <row r="444" spans="2:6" x14ac:dyDescent="0.2">
      <c r="B444" s="473"/>
      <c r="C444" s="473"/>
      <c r="D444" s="473"/>
      <c r="E444" s="473"/>
      <c r="F444" s="473"/>
    </row>
    <row r="445" spans="2:6" x14ac:dyDescent="0.2">
      <c r="B445" s="473"/>
      <c r="C445" s="473"/>
      <c r="D445" s="473"/>
      <c r="E445" s="473"/>
      <c r="F445" s="473"/>
    </row>
    <row r="446" spans="2:6" x14ac:dyDescent="0.2">
      <c r="B446" s="473"/>
      <c r="C446" s="473"/>
      <c r="D446" s="473"/>
      <c r="E446" s="473"/>
      <c r="F446" s="473"/>
    </row>
    <row r="447" spans="2:6" x14ac:dyDescent="0.2">
      <c r="B447" s="473"/>
      <c r="C447" s="473"/>
      <c r="D447" s="473"/>
      <c r="E447" s="473"/>
      <c r="F447" s="473"/>
    </row>
    <row r="448" spans="2:6" x14ac:dyDescent="0.2">
      <c r="B448" s="473"/>
      <c r="C448" s="473"/>
      <c r="D448" s="473"/>
      <c r="E448" s="473"/>
      <c r="F448" s="473"/>
    </row>
    <row r="449" spans="2:6" x14ac:dyDescent="0.2">
      <c r="B449" s="473"/>
      <c r="C449" s="473"/>
      <c r="D449" s="473"/>
      <c r="E449" s="473"/>
      <c r="F449" s="473"/>
    </row>
    <row r="450" spans="2:6" x14ac:dyDescent="0.2">
      <c r="B450" s="473"/>
      <c r="C450" s="473"/>
      <c r="D450" s="473"/>
      <c r="E450" s="473"/>
      <c r="F450" s="473"/>
    </row>
    <row r="451" spans="2:6" x14ac:dyDescent="0.2">
      <c r="B451" s="473"/>
      <c r="C451" s="473"/>
      <c r="D451" s="473"/>
      <c r="E451" s="473"/>
      <c r="F451" s="473"/>
    </row>
    <row r="452" spans="2:6" x14ac:dyDescent="0.2">
      <c r="B452" s="473"/>
      <c r="C452" s="473"/>
      <c r="D452" s="473"/>
      <c r="E452" s="473"/>
      <c r="F452" s="473"/>
    </row>
    <row r="453" spans="2:6" x14ac:dyDescent="0.2">
      <c r="B453" s="473"/>
      <c r="C453" s="473"/>
      <c r="D453" s="473"/>
      <c r="E453" s="473"/>
      <c r="F453" s="473"/>
    </row>
    <row r="454" spans="2:6" x14ac:dyDescent="0.2">
      <c r="B454" s="473"/>
      <c r="C454" s="473"/>
      <c r="D454" s="473"/>
      <c r="E454" s="473"/>
      <c r="F454" s="473"/>
    </row>
    <row r="455" spans="2:6" x14ac:dyDescent="0.2">
      <c r="B455" s="473"/>
      <c r="C455" s="473"/>
      <c r="D455" s="473"/>
      <c r="E455" s="473"/>
      <c r="F455" s="473"/>
    </row>
    <row r="456" spans="2:6" x14ac:dyDescent="0.2">
      <c r="B456" s="473"/>
      <c r="C456" s="473"/>
      <c r="D456" s="473"/>
      <c r="E456" s="473"/>
      <c r="F456" s="473"/>
    </row>
    <row r="457" spans="2:6" x14ac:dyDescent="0.2">
      <c r="B457" s="473"/>
      <c r="C457" s="473"/>
      <c r="D457" s="473"/>
      <c r="E457" s="473"/>
      <c r="F457" s="473"/>
    </row>
    <row r="458" spans="2:6" x14ac:dyDescent="0.2">
      <c r="B458" s="473"/>
      <c r="C458" s="473"/>
      <c r="D458" s="473"/>
      <c r="E458" s="473"/>
      <c r="F458" s="473"/>
    </row>
    <row r="459" spans="2:6" x14ac:dyDescent="0.2">
      <c r="B459" s="473"/>
      <c r="C459" s="473"/>
      <c r="D459" s="473"/>
      <c r="E459" s="473"/>
      <c r="F459" s="473"/>
    </row>
    <row r="460" spans="2:6" x14ac:dyDescent="0.2">
      <c r="B460" s="473"/>
      <c r="C460" s="473"/>
      <c r="D460" s="473"/>
      <c r="E460" s="473"/>
      <c r="F460" s="473"/>
    </row>
    <row r="461" spans="2:6" x14ac:dyDescent="0.2">
      <c r="B461" s="473"/>
      <c r="C461" s="473"/>
      <c r="D461" s="473"/>
      <c r="E461" s="473"/>
      <c r="F461" s="473"/>
    </row>
    <row r="462" spans="2:6" x14ac:dyDescent="0.2">
      <c r="B462" s="473"/>
      <c r="C462" s="473"/>
      <c r="D462" s="473"/>
      <c r="E462" s="473"/>
      <c r="F462" s="473"/>
    </row>
    <row r="463" spans="2:6" x14ac:dyDescent="0.2">
      <c r="B463" s="473"/>
      <c r="C463" s="473"/>
      <c r="D463" s="473"/>
      <c r="E463" s="473"/>
      <c r="F463" s="473"/>
    </row>
    <row r="464" spans="2:6" x14ac:dyDescent="0.2">
      <c r="B464" s="473"/>
      <c r="C464" s="473"/>
      <c r="D464" s="473"/>
      <c r="E464" s="473"/>
      <c r="F464" s="473"/>
    </row>
    <row r="465" spans="2:6" x14ac:dyDescent="0.2">
      <c r="B465" s="473"/>
      <c r="C465" s="473"/>
      <c r="D465" s="473"/>
      <c r="E465" s="473"/>
      <c r="F465" s="473"/>
    </row>
    <row r="466" spans="2:6" x14ac:dyDescent="0.2">
      <c r="B466" s="473"/>
      <c r="C466" s="473"/>
      <c r="D466" s="473"/>
      <c r="E466" s="473"/>
      <c r="F466" s="473"/>
    </row>
    <row r="467" spans="2:6" x14ac:dyDescent="0.2">
      <c r="B467" s="473"/>
      <c r="C467" s="473"/>
      <c r="D467" s="473"/>
      <c r="E467" s="473"/>
      <c r="F467" s="473"/>
    </row>
    <row r="468" spans="2:6" x14ac:dyDescent="0.2">
      <c r="B468" s="473"/>
      <c r="C468" s="473"/>
      <c r="D468" s="473"/>
      <c r="E468" s="473"/>
      <c r="F468" s="473"/>
    </row>
    <row r="469" spans="2:6" x14ac:dyDescent="0.2">
      <c r="B469" s="473"/>
      <c r="C469" s="473"/>
      <c r="D469" s="473"/>
      <c r="E469" s="473"/>
      <c r="F469" s="473"/>
    </row>
    <row r="470" spans="2:6" x14ac:dyDescent="0.2">
      <c r="B470" s="473"/>
      <c r="C470" s="473"/>
      <c r="D470" s="473"/>
      <c r="E470" s="473"/>
      <c r="F470" s="473"/>
    </row>
    <row r="471" spans="2:6" x14ac:dyDescent="0.2">
      <c r="B471" s="473"/>
      <c r="C471" s="473"/>
      <c r="D471" s="473"/>
      <c r="E471" s="473"/>
      <c r="F471" s="473"/>
    </row>
    <row r="472" spans="2:6" x14ac:dyDescent="0.2">
      <c r="B472" s="473"/>
      <c r="C472" s="473"/>
      <c r="D472" s="473"/>
      <c r="E472" s="473"/>
      <c r="F472" s="473"/>
    </row>
    <row r="473" spans="2:6" x14ac:dyDescent="0.2">
      <c r="B473" s="473"/>
      <c r="C473" s="473"/>
      <c r="D473" s="473"/>
      <c r="E473" s="473"/>
      <c r="F473" s="473"/>
    </row>
    <row r="474" spans="2:6" x14ac:dyDescent="0.2">
      <c r="B474" s="473"/>
      <c r="C474" s="473"/>
      <c r="D474" s="473"/>
      <c r="E474" s="473"/>
      <c r="F474" s="473"/>
    </row>
    <row r="475" spans="2:6" x14ac:dyDescent="0.2">
      <c r="B475" s="473"/>
      <c r="C475" s="473"/>
      <c r="D475" s="473"/>
      <c r="E475" s="473"/>
      <c r="F475" s="473"/>
    </row>
    <row r="476" spans="2:6" x14ac:dyDescent="0.2">
      <c r="B476" s="473"/>
      <c r="C476" s="473"/>
      <c r="D476" s="473"/>
      <c r="E476" s="473"/>
      <c r="F476" s="473"/>
    </row>
    <row r="477" spans="2:6" x14ac:dyDescent="0.2">
      <c r="B477" s="473"/>
      <c r="C477" s="473"/>
      <c r="D477" s="473"/>
      <c r="E477" s="473"/>
      <c r="F477" s="473"/>
    </row>
    <row r="478" spans="2:6" x14ac:dyDescent="0.2">
      <c r="B478" s="473"/>
      <c r="C478" s="473"/>
      <c r="D478" s="473"/>
      <c r="E478" s="473"/>
      <c r="F478" s="473"/>
    </row>
    <row r="479" spans="2:6" x14ac:dyDescent="0.2">
      <c r="B479" s="473"/>
      <c r="C479" s="473"/>
      <c r="D479" s="473"/>
      <c r="E479" s="473"/>
      <c r="F479" s="473"/>
    </row>
    <row r="480" spans="2:6" x14ac:dyDescent="0.2">
      <c r="B480" s="473"/>
      <c r="C480" s="473"/>
      <c r="D480" s="473"/>
      <c r="E480" s="473"/>
      <c r="F480" s="473"/>
    </row>
    <row r="481" spans="2:6" x14ac:dyDescent="0.2">
      <c r="B481" s="473"/>
      <c r="C481" s="473"/>
      <c r="D481" s="473"/>
      <c r="E481" s="473"/>
      <c r="F481" s="473"/>
    </row>
    <row r="482" spans="2:6" x14ac:dyDescent="0.2">
      <c r="B482" s="473"/>
      <c r="C482" s="473"/>
      <c r="D482" s="473"/>
      <c r="E482" s="473"/>
      <c r="F482" s="473"/>
    </row>
    <row r="483" spans="2:6" x14ac:dyDescent="0.2">
      <c r="B483" s="473"/>
      <c r="C483" s="473"/>
      <c r="D483" s="473"/>
      <c r="E483" s="473"/>
      <c r="F483" s="473"/>
    </row>
    <row r="484" spans="2:6" x14ac:dyDescent="0.2">
      <c r="B484" s="473"/>
      <c r="C484" s="473"/>
      <c r="D484" s="473"/>
      <c r="E484" s="473"/>
      <c r="F484" s="473"/>
    </row>
    <row r="485" spans="2:6" x14ac:dyDescent="0.2">
      <c r="B485" s="473"/>
      <c r="C485" s="473"/>
      <c r="D485" s="473"/>
      <c r="E485" s="473"/>
      <c r="F485" s="473"/>
    </row>
    <row r="486" spans="2:6" x14ac:dyDescent="0.2">
      <c r="B486" s="473"/>
      <c r="C486" s="473"/>
      <c r="D486" s="473"/>
      <c r="E486" s="473"/>
      <c r="F486" s="473"/>
    </row>
    <row r="487" spans="2:6" x14ac:dyDescent="0.2">
      <c r="B487" s="473"/>
      <c r="C487" s="473"/>
      <c r="D487" s="473"/>
      <c r="E487" s="473"/>
      <c r="F487" s="473"/>
    </row>
    <row r="488" spans="2:6" x14ac:dyDescent="0.2">
      <c r="B488" s="473"/>
      <c r="C488" s="473"/>
      <c r="D488" s="473"/>
      <c r="E488" s="473"/>
      <c r="F488" s="473"/>
    </row>
    <row r="489" spans="2:6" x14ac:dyDescent="0.2">
      <c r="B489" s="473"/>
      <c r="C489" s="473"/>
      <c r="D489" s="473"/>
      <c r="E489" s="473"/>
      <c r="F489" s="473"/>
    </row>
    <row r="490" spans="2:6" x14ac:dyDescent="0.2">
      <c r="B490" s="473"/>
      <c r="C490" s="473"/>
      <c r="D490" s="473"/>
      <c r="E490" s="473"/>
      <c r="F490" s="473"/>
    </row>
    <row r="491" spans="2:6" x14ac:dyDescent="0.2">
      <c r="B491" s="473"/>
      <c r="C491" s="473"/>
      <c r="D491" s="473"/>
      <c r="E491" s="473"/>
      <c r="F491" s="473"/>
    </row>
    <row r="492" spans="2:6" x14ac:dyDescent="0.2">
      <c r="B492" s="473"/>
      <c r="C492" s="473"/>
      <c r="D492" s="473"/>
      <c r="E492" s="473"/>
      <c r="F492" s="473"/>
    </row>
    <row r="493" spans="2:6" x14ac:dyDescent="0.2">
      <c r="B493" s="473"/>
      <c r="C493" s="473"/>
      <c r="D493" s="473"/>
      <c r="E493" s="473"/>
      <c r="F493" s="473"/>
    </row>
    <row r="494" spans="2:6" x14ac:dyDescent="0.2">
      <c r="B494" s="473"/>
      <c r="C494" s="473"/>
      <c r="D494" s="473"/>
      <c r="E494" s="473"/>
      <c r="F494" s="473"/>
    </row>
    <row r="495" spans="2:6" x14ac:dyDescent="0.2">
      <c r="B495" s="473"/>
      <c r="C495" s="473"/>
      <c r="D495" s="473"/>
      <c r="E495" s="473"/>
      <c r="F495" s="473"/>
    </row>
    <row r="496" spans="2:6" x14ac:dyDescent="0.2">
      <c r="B496" s="473"/>
      <c r="C496" s="473"/>
      <c r="D496" s="473"/>
      <c r="E496" s="473"/>
      <c r="F496" s="473"/>
    </row>
    <row r="497" spans="2:6" x14ac:dyDescent="0.2">
      <c r="B497" s="473"/>
      <c r="C497" s="473"/>
      <c r="D497" s="473"/>
      <c r="E497" s="473"/>
      <c r="F497" s="473"/>
    </row>
    <row r="498" spans="2:6" x14ac:dyDescent="0.2">
      <c r="B498" s="473"/>
      <c r="C498" s="473"/>
      <c r="D498" s="473"/>
      <c r="E498" s="473"/>
      <c r="F498" s="473"/>
    </row>
    <row r="499" spans="2:6" x14ac:dyDescent="0.2">
      <c r="B499" s="473"/>
      <c r="C499" s="473"/>
      <c r="D499" s="473"/>
      <c r="E499" s="473"/>
      <c r="F499" s="473"/>
    </row>
    <row r="500" spans="2:6" x14ac:dyDescent="0.2">
      <c r="B500" s="473"/>
      <c r="C500" s="473"/>
      <c r="D500" s="473"/>
      <c r="E500" s="473"/>
      <c r="F500" s="473"/>
    </row>
    <row r="501" spans="2:6" x14ac:dyDescent="0.2">
      <c r="B501" s="473"/>
      <c r="C501" s="473"/>
      <c r="D501" s="473"/>
      <c r="E501" s="473"/>
      <c r="F501" s="473"/>
    </row>
    <row r="502" spans="2:6" x14ac:dyDescent="0.2">
      <c r="B502" s="473"/>
      <c r="C502" s="473"/>
      <c r="D502" s="473"/>
      <c r="E502" s="473"/>
      <c r="F502" s="473"/>
    </row>
    <row r="503" spans="2:6" x14ac:dyDescent="0.2">
      <c r="B503" s="473"/>
      <c r="C503" s="473"/>
      <c r="D503" s="473"/>
      <c r="E503" s="473"/>
      <c r="F503" s="473"/>
    </row>
    <row r="504" spans="2:6" x14ac:dyDescent="0.2">
      <c r="B504" s="473"/>
      <c r="C504" s="473"/>
      <c r="D504" s="473"/>
      <c r="E504" s="473"/>
      <c r="F504" s="473"/>
    </row>
    <row r="505" spans="2:6" x14ac:dyDescent="0.2">
      <c r="B505" s="473"/>
      <c r="C505" s="473"/>
      <c r="D505" s="473"/>
      <c r="E505" s="473"/>
      <c r="F505" s="473"/>
    </row>
    <row r="506" spans="2:6" x14ac:dyDescent="0.2">
      <c r="B506" s="473"/>
      <c r="C506" s="473"/>
      <c r="D506" s="473"/>
      <c r="E506" s="473"/>
      <c r="F506" s="473"/>
    </row>
    <row r="507" spans="2:6" x14ac:dyDescent="0.2">
      <c r="B507" s="473"/>
      <c r="C507" s="473"/>
      <c r="D507" s="473"/>
      <c r="E507" s="473"/>
      <c r="F507" s="473"/>
    </row>
    <row r="508" spans="2:6" x14ac:dyDescent="0.2">
      <c r="B508" s="473"/>
      <c r="C508" s="473"/>
      <c r="D508" s="473"/>
      <c r="E508" s="473"/>
      <c r="F508" s="473"/>
    </row>
    <row r="509" spans="2:6" x14ac:dyDescent="0.2">
      <c r="B509" s="473"/>
      <c r="C509" s="473"/>
      <c r="D509" s="473"/>
      <c r="E509" s="473"/>
      <c r="F509" s="473"/>
    </row>
    <row r="510" spans="2:6" x14ac:dyDescent="0.2">
      <c r="B510" s="473"/>
      <c r="C510" s="473"/>
      <c r="D510" s="473"/>
      <c r="E510" s="473"/>
      <c r="F510" s="473"/>
    </row>
    <row r="511" spans="2:6" x14ac:dyDescent="0.2">
      <c r="B511" s="473"/>
      <c r="C511" s="473"/>
      <c r="D511" s="473"/>
      <c r="E511" s="473"/>
      <c r="F511" s="473"/>
    </row>
    <row r="512" spans="2:6" x14ac:dyDescent="0.2">
      <c r="B512" s="473"/>
      <c r="C512" s="473"/>
      <c r="D512" s="473"/>
      <c r="E512" s="473"/>
      <c r="F512" s="473"/>
    </row>
    <row r="513" spans="2:6" x14ac:dyDescent="0.2">
      <c r="B513" s="473"/>
      <c r="C513" s="473"/>
      <c r="D513" s="473"/>
      <c r="E513" s="473"/>
      <c r="F513" s="473"/>
    </row>
    <row r="514" spans="2:6" x14ac:dyDescent="0.2">
      <c r="B514" s="473"/>
      <c r="C514" s="473"/>
      <c r="D514" s="473"/>
      <c r="E514" s="473"/>
      <c r="F514" s="473"/>
    </row>
    <row r="515" spans="2:6" x14ac:dyDescent="0.2">
      <c r="B515" s="473"/>
      <c r="C515" s="473"/>
      <c r="D515" s="473"/>
      <c r="E515" s="473"/>
      <c r="F515" s="473"/>
    </row>
    <row r="516" spans="2:6" x14ac:dyDescent="0.2">
      <c r="B516" s="473"/>
      <c r="C516" s="473"/>
      <c r="D516" s="473"/>
      <c r="E516" s="473"/>
      <c r="F516" s="473"/>
    </row>
    <row r="517" spans="2:6" x14ac:dyDescent="0.2">
      <c r="B517" s="473"/>
      <c r="C517" s="473"/>
      <c r="D517" s="473"/>
      <c r="E517" s="473"/>
      <c r="F517" s="473"/>
    </row>
    <row r="518" spans="2:6" x14ac:dyDescent="0.2">
      <c r="B518" s="473"/>
      <c r="C518" s="473"/>
      <c r="D518" s="473"/>
      <c r="E518" s="473"/>
      <c r="F518" s="473"/>
    </row>
    <row r="519" spans="2:6" x14ac:dyDescent="0.2">
      <c r="B519" s="473"/>
      <c r="C519" s="473"/>
      <c r="D519" s="473"/>
      <c r="E519" s="473"/>
      <c r="F519" s="473"/>
    </row>
    <row r="520" spans="2:6" x14ac:dyDescent="0.2">
      <c r="B520" s="473"/>
      <c r="C520" s="473"/>
      <c r="D520" s="473"/>
      <c r="E520" s="473"/>
      <c r="F520" s="473"/>
    </row>
    <row r="521" spans="2:6" x14ac:dyDescent="0.2">
      <c r="B521" s="473"/>
      <c r="C521" s="473"/>
      <c r="D521" s="473"/>
      <c r="E521" s="473"/>
      <c r="F521" s="473"/>
    </row>
    <row r="522" spans="2:6" x14ac:dyDescent="0.2">
      <c r="B522" s="473"/>
      <c r="C522" s="473"/>
      <c r="D522" s="473"/>
      <c r="E522" s="473"/>
      <c r="F522" s="473"/>
    </row>
    <row r="523" spans="2:6" x14ac:dyDescent="0.2">
      <c r="B523" s="473"/>
      <c r="C523" s="473"/>
      <c r="D523" s="473"/>
      <c r="E523" s="473"/>
      <c r="F523" s="473"/>
    </row>
    <row r="524" spans="2:6" x14ac:dyDescent="0.2">
      <c r="B524" s="473"/>
      <c r="C524" s="473"/>
      <c r="D524" s="473"/>
      <c r="E524" s="473"/>
      <c r="F524" s="473"/>
    </row>
    <row r="525" spans="2:6" x14ac:dyDescent="0.2">
      <c r="B525" s="473"/>
      <c r="C525" s="473"/>
      <c r="D525" s="473"/>
      <c r="E525" s="473"/>
      <c r="F525" s="473"/>
    </row>
    <row r="526" spans="2:6" x14ac:dyDescent="0.2">
      <c r="B526" s="473"/>
      <c r="C526" s="473"/>
      <c r="D526" s="473"/>
      <c r="E526" s="473"/>
      <c r="F526" s="473"/>
    </row>
    <row r="527" spans="2:6" x14ac:dyDescent="0.2">
      <c r="B527" s="473"/>
      <c r="C527" s="473"/>
      <c r="D527" s="473"/>
      <c r="E527" s="473"/>
      <c r="F527" s="473"/>
    </row>
    <row r="528" spans="2:6" x14ac:dyDescent="0.2">
      <c r="B528" s="473"/>
      <c r="C528" s="473"/>
      <c r="D528" s="473"/>
      <c r="E528" s="473"/>
      <c r="F528" s="473"/>
    </row>
    <row r="529" spans="2:6" x14ac:dyDescent="0.2">
      <c r="B529" s="473"/>
      <c r="C529" s="473"/>
      <c r="D529" s="473"/>
      <c r="E529" s="473"/>
      <c r="F529" s="473"/>
    </row>
    <row r="530" spans="2:6" x14ac:dyDescent="0.2">
      <c r="B530" s="473"/>
      <c r="C530" s="473"/>
      <c r="D530" s="473"/>
      <c r="E530" s="473"/>
      <c r="F530" s="473"/>
    </row>
    <row r="531" spans="2:6" x14ac:dyDescent="0.2">
      <c r="B531" s="473"/>
      <c r="C531" s="473"/>
      <c r="D531" s="473"/>
      <c r="E531" s="473"/>
      <c r="F531" s="473"/>
    </row>
    <row r="532" spans="2:6" x14ac:dyDescent="0.2">
      <c r="B532" s="473"/>
      <c r="C532" s="473"/>
      <c r="D532" s="473"/>
      <c r="E532" s="473"/>
      <c r="F532" s="473"/>
    </row>
    <row r="533" spans="2:6" x14ac:dyDescent="0.2">
      <c r="B533" s="473"/>
      <c r="C533" s="473"/>
      <c r="D533" s="473"/>
      <c r="E533" s="473"/>
      <c r="F533" s="473"/>
    </row>
    <row r="534" spans="2:6" x14ac:dyDescent="0.2">
      <c r="B534" s="473"/>
      <c r="C534" s="473"/>
      <c r="D534" s="473"/>
      <c r="E534" s="473"/>
      <c r="F534" s="473"/>
    </row>
    <row r="535" spans="2:6" x14ac:dyDescent="0.2">
      <c r="B535" s="473"/>
      <c r="C535" s="473"/>
      <c r="D535" s="473"/>
      <c r="E535" s="473"/>
      <c r="F535" s="473"/>
    </row>
    <row r="536" spans="2:6" x14ac:dyDescent="0.2">
      <c r="B536" s="473"/>
      <c r="C536" s="473"/>
      <c r="D536" s="473"/>
      <c r="E536" s="473"/>
      <c r="F536" s="473"/>
    </row>
    <row r="537" spans="2:6" x14ac:dyDescent="0.2">
      <c r="B537" s="473"/>
      <c r="C537" s="473"/>
      <c r="D537" s="473"/>
      <c r="E537" s="473"/>
      <c r="F537" s="473"/>
    </row>
    <row r="538" spans="2:6" x14ac:dyDescent="0.2">
      <c r="B538" s="473"/>
      <c r="C538" s="473"/>
      <c r="D538" s="473"/>
      <c r="E538" s="473"/>
      <c r="F538" s="473"/>
    </row>
    <row r="539" spans="2:6" x14ac:dyDescent="0.2">
      <c r="B539" s="473"/>
      <c r="C539" s="473"/>
      <c r="D539" s="473"/>
      <c r="E539" s="473"/>
      <c r="F539" s="473"/>
    </row>
    <row r="540" spans="2:6" x14ac:dyDescent="0.2">
      <c r="B540" s="473"/>
      <c r="C540" s="473"/>
      <c r="D540" s="473"/>
      <c r="E540" s="473"/>
      <c r="F540" s="473"/>
    </row>
    <row r="541" spans="2:6" x14ac:dyDescent="0.2">
      <c r="B541" s="473"/>
      <c r="C541" s="473"/>
      <c r="D541" s="473"/>
      <c r="E541" s="473"/>
      <c r="F541" s="473"/>
    </row>
    <row r="542" spans="2:6" x14ac:dyDescent="0.2">
      <c r="B542" s="473"/>
      <c r="C542" s="473"/>
      <c r="D542" s="473"/>
      <c r="E542" s="473"/>
      <c r="F542" s="473"/>
    </row>
    <row r="543" spans="2:6" x14ac:dyDescent="0.2">
      <c r="B543" s="473"/>
      <c r="C543" s="473"/>
      <c r="D543" s="473"/>
      <c r="E543" s="473"/>
      <c r="F543" s="473"/>
    </row>
    <row r="544" spans="2:6" x14ac:dyDescent="0.2">
      <c r="B544" s="473"/>
      <c r="C544" s="473"/>
      <c r="D544" s="473"/>
      <c r="E544" s="473"/>
      <c r="F544" s="473"/>
    </row>
    <row r="545" spans="2:6" x14ac:dyDescent="0.2">
      <c r="B545" s="473"/>
      <c r="C545" s="473"/>
      <c r="D545" s="473"/>
      <c r="E545" s="473"/>
      <c r="F545" s="473"/>
    </row>
    <row r="546" spans="2:6" x14ac:dyDescent="0.2">
      <c r="B546" s="473"/>
      <c r="C546" s="473"/>
      <c r="D546" s="473"/>
      <c r="E546" s="473"/>
      <c r="F546" s="473"/>
    </row>
    <row r="547" spans="2:6" x14ac:dyDescent="0.2">
      <c r="B547" s="473"/>
      <c r="C547" s="473"/>
      <c r="D547" s="473"/>
      <c r="E547" s="473"/>
      <c r="F547" s="473"/>
    </row>
    <row r="548" spans="2:6" x14ac:dyDescent="0.2">
      <c r="B548" s="473"/>
      <c r="C548" s="473"/>
      <c r="D548" s="473"/>
      <c r="E548" s="473"/>
      <c r="F548" s="473"/>
    </row>
    <row r="549" spans="2:6" x14ac:dyDescent="0.2">
      <c r="B549" s="473"/>
      <c r="C549" s="473"/>
      <c r="D549" s="473"/>
      <c r="E549" s="473"/>
      <c r="F549" s="473"/>
    </row>
    <row r="550" spans="2:6" x14ac:dyDescent="0.2">
      <c r="B550" s="473"/>
      <c r="C550" s="473"/>
      <c r="D550" s="473"/>
      <c r="E550" s="473"/>
      <c r="F550" s="473"/>
    </row>
    <row r="551" spans="2:6" x14ac:dyDescent="0.2">
      <c r="B551" s="473"/>
      <c r="C551" s="473"/>
      <c r="D551" s="473"/>
      <c r="E551" s="473"/>
      <c r="F551" s="473"/>
    </row>
    <row r="552" spans="2:6" x14ac:dyDescent="0.2">
      <c r="B552" s="473"/>
      <c r="C552" s="473"/>
      <c r="D552" s="473"/>
      <c r="E552" s="473"/>
      <c r="F552" s="473"/>
    </row>
    <row r="553" spans="2:6" x14ac:dyDescent="0.2">
      <c r="B553" s="473"/>
      <c r="C553" s="473"/>
      <c r="D553" s="473"/>
      <c r="E553" s="473"/>
      <c r="F553" s="473"/>
    </row>
    <row r="554" spans="2:6" x14ac:dyDescent="0.2">
      <c r="B554" s="473"/>
      <c r="C554" s="473"/>
      <c r="D554" s="473"/>
      <c r="E554" s="473"/>
      <c r="F554" s="473"/>
    </row>
    <row r="555" spans="2:6" x14ac:dyDescent="0.2">
      <c r="B555" s="473"/>
      <c r="C555" s="473"/>
      <c r="D555" s="473"/>
      <c r="E555" s="473"/>
      <c r="F555" s="473"/>
    </row>
    <row r="556" spans="2:6" x14ac:dyDescent="0.2">
      <c r="B556" s="473"/>
      <c r="C556" s="473"/>
      <c r="D556" s="473"/>
      <c r="E556" s="473"/>
      <c r="F556" s="473"/>
    </row>
    <row r="557" spans="2:6" x14ac:dyDescent="0.2">
      <c r="B557" s="473"/>
      <c r="C557" s="473"/>
      <c r="D557" s="473"/>
      <c r="E557" s="473"/>
      <c r="F557" s="473"/>
    </row>
    <row r="558" spans="2:6" x14ac:dyDescent="0.2">
      <c r="B558" s="473"/>
      <c r="C558" s="473"/>
      <c r="D558" s="473"/>
      <c r="E558" s="473"/>
      <c r="F558" s="473"/>
    </row>
    <row r="559" spans="2:6" x14ac:dyDescent="0.2">
      <c r="B559" s="473"/>
      <c r="C559" s="473"/>
      <c r="D559" s="473"/>
      <c r="E559" s="473"/>
      <c r="F559" s="473"/>
    </row>
    <row r="560" spans="2:6" x14ac:dyDescent="0.2">
      <c r="B560" s="473"/>
      <c r="C560" s="473"/>
      <c r="D560" s="473"/>
      <c r="E560" s="473"/>
      <c r="F560" s="473"/>
    </row>
    <row r="561" spans="2:6" x14ac:dyDescent="0.2">
      <c r="B561" s="473"/>
      <c r="C561" s="473"/>
      <c r="D561" s="473"/>
      <c r="E561" s="473"/>
      <c r="F561" s="473"/>
    </row>
    <row r="562" spans="2:6" x14ac:dyDescent="0.2">
      <c r="B562" s="473"/>
      <c r="C562" s="473"/>
      <c r="D562" s="473"/>
      <c r="E562" s="473"/>
      <c r="F562" s="473"/>
    </row>
    <row r="563" spans="2:6" x14ac:dyDescent="0.2">
      <c r="B563" s="473"/>
      <c r="C563" s="473"/>
      <c r="D563" s="473"/>
      <c r="E563" s="473"/>
      <c r="F563" s="473"/>
    </row>
    <row r="564" spans="2:6" x14ac:dyDescent="0.2">
      <c r="B564" s="473"/>
      <c r="C564" s="473"/>
      <c r="D564" s="473"/>
      <c r="E564" s="473"/>
      <c r="F564" s="473"/>
    </row>
    <row r="565" spans="2:6" x14ac:dyDescent="0.2">
      <c r="B565" s="473"/>
      <c r="C565" s="473"/>
      <c r="D565" s="473"/>
      <c r="E565" s="473"/>
      <c r="F565" s="473"/>
    </row>
    <row r="566" spans="2:6" x14ac:dyDescent="0.2">
      <c r="B566" s="473"/>
      <c r="C566" s="473"/>
      <c r="D566" s="473"/>
      <c r="E566" s="473"/>
      <c r="F566" s="473"/>
    </row>
    <row r="567" spans="2:6" x14ac:dyDescent="0.2">
      <c r="B567" s="473"/>
      <c r="C567" s="473"/>
      <c r="D567" s="473"/>
      <c r="E567" s="473"/>
      <c r="F567" s="473"/>
    </row>
    <row r="568" spans="2:6" x14ac:dyDescent="0.2">
      <c r="B568" s="473"/>
      <c r="C568" s="473"/>
      <c r="D568" s="473"/>
      <c r="E568" s="473"/>
      <c r="F568" s="473"/>
    </row>
    <row r="569" spans="2:6" x14ac:dyDescent="0.2">
      <c r="B569" s="473"/>
      <c r="C569" s="473"/>
      <c r="D569" s="473"/>
      <c r="E569" s="473"/>
      <c r="F569" s="473"/>
    </row>
    <row r="570" spans="2:6" x14ac:dyDescent="0.2">
      <c r="B570" s="473"/>
      <c r="C570" s="473"/>
      <c r="D570" s="473"/>
      <c r="E570" s="473"/>
      <c r="F570" s="473"/>
    </row>
    <row r="571" spans="2:6" x14ac:dyDescent="0.2">
      <c r="B571" s="473"/>
      <c r="C571" s="473"/>
      <c r="D571" s="473"/>
      <c r="E571" s="473"/>
      <c r="F571" s="473"/>
    </row>
    <row r="572" spans="2:6" x14ac:dyDescent="0.2">
      <c r="B572" s="473"/>
      <c r="C572" s="473"/>
      <c r="D572" s="473"/>
      <c r="E572" s="473"/>
      <c r="F572" s="473"/>
    </row>
    <row r="573" spans="2:6" x14ac:dyDescent="0.2">
      <c r="B573" s="473"/>
      <c r="C573" s="473"/>
      <c r="D573" s="473"/>
      <c r="E573" s="473"/>
      <c r="F573" s="473"/>
    </row>
    <row r="574" spans="2:6" x14ac:dyDescent="0.2">
      <c r="B574" s="473"/>
      <c r="C574" s="473"/>
      <c r="D574" s="473"/>
      <c r="E574" s="473"/>
      <c r="F574" s="473"/>
    </row>
    <row r="575" spans="2:6" x14ac:dyDescent="0.2">
      <c r="B575" s="473"/>
      <c r="C575" s="473"/>
      <c r="D575" s="473"/>
      <c r="E575" s="473"/>
      <c r="F575" s="473"/>
    </row>
    <row r="576" spans="2:6" x14ac:dyDescent="0.2">
      <c r="B576" s="473"/>
      <c r="C576" s="473"/>
      <c r="D576" s="473"/>
      <c r="E576" s="473"/>
      <c r="F576" s="473"/>
    </row>
    <row r="577" spans="2:6" x14ac:dyDescent="0.2">
      <c r="B577" s="473"/>
      <c r="C577" s="473"/>
      <c r="D577" s="473"/>
      <c r="E577" s="473"/>
      <c r="F577" s="473"/>
    </row>
    <row r="578" spans="2:6" x14ac:dyDescent="0.2">
      <c r="B578" s="473"/>
      <c r="C578" s="473"/>
      <c r="D578" s="473"/>
      <c r="E578" s="473"/>
      <c r="F578" s="473"/>
    </row>
    <row r="579" spans="2:6" x14ac:dyDescent="0.2">
      <c r="B579" s="473"/>
      <c r="C579" s="473"/>
      <c r="D579" s="473"/>
      <c r="E579" s="473"/>
      <c r="F579" s="473"/>
    </row>
    <row r="580" spans="2:6" x14ac:dyDescent="0.2">
      <c r="B580" s="473"/>
      <c r="C580" s="473"/>
      <c r="D580" s="473"/>
      <c r="E580" s="473"/>
      <c r="F580" s="473"/>
    </row>
    <row r="581" spans="2:6" x14ac:dyDescent="0.2">
      <c r="B581" s="473"/>
      <c r="C581" s="473"/>
      <c r="D581" s="473"/>
      <c r="E581" s="473"/>
      <c r="F581" s="473"/>
    </row>
    <row r="582" spans="2:6" x14ac:dyDescent="0.2">
      <c r="B582" s="473"/>
      <c r="C582" s="473"/>
      <c r="D582" s="473"/>
      <c r="E582" s="473"/>
      <c r="F582" s="473"/>
    </row>
    <row r="583" spans="2:6" x14ac:dyDescent="0.2">
      <c r="B583" s="473"/>
      <c r="C583" s="473"/>
      <c r="D583" s="473"/>
      <c r="E583" s="473"/>
      <c r="F583" s="473"/>
    </row>
    <row r="584" spans="2:6" x14ac:dyDescent="0.2">
      <c r="B584" s="473"/>
      <c r="C584" s="473"/>
      <c r="D584" s="473"/>
      <c r="E584" s="473"/>
      <c r="F584" s="473"/>
    </row>
    <row r="585" spans="2:6" x14ac:dyDescent="0.2">
      <c r="B585" s="473"/>
      <c r="C585" s="473"/>
      <c r="D585" s="473"/>
      <c r="E585" s="473"/>
      <c r="F585" s="473"/>
    </row>
    <row r="586" spans="2:6" x14ac:dyDescent="0.2">
      <c r="B586" s="473"/>
      <c r="C586" s="473"/>
      <c r="D586" s="473"/>
      <c r="E586" s="473"/>
      <c r="F586" s="473"/>
    </row>
    <row r="587" spans="2:6" x14ac:dyDescent="0.2">
      <c r="B587" s="473"/>
      <c r="C587" s="473"/>
      <c r="D587" s="473"/>
      <c r="E587" s="473"/>
      <c r="F587" s="473"/>
    </row>
    <row r="588" spans="2:6" x14ac:dyDescent="0.2">
      <c r="B588" s="473"/>
      <c r="C588" s="473"/>
      <c r="D588" s="473"/>
      <c r="E588" s="473"/>
      <c r="F588" s="473"/>
    </row>
    <row r="589" spans="2:6" x14ac:dyDescent="0.2">
      <c r="B589" s="473"/>
      <c r="C589" s="473"/>
      <c r="D589" s="473"/>
      <c r="E589" s="473"/>
      <c r="F589" s="473"/>
    </row>
    <row r="590" spans="2:6" x14ac:dyDescent="0.2">
      <c r="B590" s="473"/>
      <c r="C590" s="473"/>
      <c r="D590" s="473"/>
      <c r="E590" s="473"/>
      <c r="F590" s="473"/>
    </row>
    <row r="591" spans="2:6" x14ac:dyDescent="0.2">
      <c r="B591" s="473"/>
      <c r="C591" s="473"/>
      <c r="D591" s="473"/>
      <c r="E591" s="473"/>
      <c r="F591" s="473"/>
    </row>
    <row r="592" spans="2:6" x14ac:dyDescent="0.2">
      <c r="B592" s="473"/>
      <c r="C592" s="473"/>
      <c r="D592" s="473"/>
      <c r="E592" s="473"/>
      <c r="F592" s="473"/>
    </row>
    <row r="593" spans="2:6" x14ac:dyDescent="0.2">
      <c r="B593" s="473"/>
      <c r="C593" s="473"/>
      <c r="D593" s="473"/>
      <c r="E593" s="473"/>
      <c r="F593" s="473"/>
    </row>
  </sheetData>
  <printOptions horizontalCentered="1"/>
  <pageMargins left="0" right="0" top="0.39370078740157483" bottom="0" header="0" footer="0"/>
  <pageSetup paperSize="9" scale="49" orientation="portrait" horizontalDpi="4294967295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3"/>
  <sheetViews>
    <sheetView zoomScale="75" workbookViewId="0">
      <selection activeCell="H40" sqref="H40"/>
    </sheetView>
  </sheetViews>
  <sheetFormatPr defaultRowHeight="12.75" x14ac:dyDescent="0.2"/>
  <cols>
    <col min="1" max="1" width="15.85546875" style="343" customWidth="1"/>
    <col min="2" max="3" width="10.5703125" style="343" customWidth="1"/>
    <col min="4" max="4" width="9.85546875" style="343" customWidth="1"/>
    <col min="5" max="5" width="9.28515625" style="343" customWidth="1"/>
    <col min="6" max="6" width="73.7109375" style="343" customWidth="1"/>
    <col min="7" max="7" width="22.7109375" style="343" customWidth="1"/>
    <col min="8" max="8" width="22" style="343" customWidth="1"/>
    <col min="9" max="9" width="22.7109375" style="343" customWidth="1"/>
    <col min="10" max="10" width="14" style="343" customWidth="1"/>
    <col min="11" max="12" width="9.140625" style="343"/>
    <col min="13" max="13" width="11.42578125" style="343" bestFit="1" customWidth="1"/>
    <col min="14" max="16384" width="9.140625" style="343"/>
  </cols>
  <sheetData>
    <row r="1" spans="1:10" ht="15" x14ac:dyDescent="0.2">
      <c r="G1" s="344"/>
      <c r="H1" s="344"/>
      <c r="J1" s="344"/>
    </row>
    <row r="3" spans="1:10" ht="23.25" x14ac:dyDescent="0.35">
      <c r="A3" s="346" t="s">
        <v>459</v>
      </c>
      <c r="B3" s="347"/>
      <c r="C3" s="347"/>
      <c r="D3" s="347"/>
      <c r="E3" s="347"/>
      <c r="F3" s="347"/>
      <c r="G3" s="347"/>
      <c r="H3" s="347"/>
      <c r="I3" s="349"/>
      <c r="J3" s="349"/>
    </row>
    <row r="4" spans="1:10" ht="24.75" customHeight="1" x14ac:dyDescent="0.25">
      <c r="A4" s="346" t="s">
        <v>460</v>
      </c>
      <c r="B4" s="346"/>
      <c r="C4" s="346"/>
      <c r="D4" s="346"/>
      <c r="E4" s="350"/>
      <c r="F4" s="350"/>
      <c r="G4" s="349"/>
      <c r="H4" s="349"/>
      <c r="I4" s="349"/>
    </row>
    <row r="5" spans="1:10" ht="15.75" thickBot="1" x14ac:dyDescent="0.25">
      <c r="B5" s="352"/>
      <c r="C5" s="352"/>
      <c r="G5" s="353"/>
      <c r="H5" s="353"/>
      <c r="I5" s="344"/>
      <c r="J5" s="355" t="s">
        <v>244</v>
      </c>
    </row>
    <row r="6" spans="1:10" ht="24" customHeight="1" x14ac:dyDescent="0.25">
      <c r="A6" s="356" t="s">
        <v>288</v>
      </c>
      <c r="B6" s="357" t="s">
        <v>289</v>
      </c>
      <c r="C6" s="358"/>
      <c r="D6" s="358"/>
      <c r="E6" s="359"/>
      <c r="F6" s="360" t="s">
        <v>290</v>
      </c>
      <c r="G6" s="360" t="s">
        <v>291</v>
      </c>
      <c r="H6" s="361" t="s">
        <v>292</v>
      </c>
      <c r="I6" s="360" t="s">
        <v>293</v>
      </c>
      <c r="J6" s="360" t="s">
        <v>294</v>
      </c>
    </row>
    <row r="7" spans="1:10" ht="17.25" customHeight="1" x14ac:dyDescent="0.25">
      <c r="A7" s="362" t="s">
        <v>295</v>
      </c>
      <c r="B7" s="363" t="s">
        <v>296</v>
      </c>
      <c r="C7" s="364" t="s">
        <v>297</v>
      </c>
      <c r="D7" s="365" t="s">
        <v>298</v>
      </c>
      <c r="E7" s="366" t="s">
        <v>299</v>
      </c>
      <c r="F7" s="367"/>
      <c r="G7" s="368" t="s">
        <v>300</v>
      </c>
      <c r="H7" s="369" t="s">
        <v>301</v>
      </c>
      <c r="I7" s="368" t="s">
        <v>302</v>
      </c>
      <c r="J7" s="368" t="s">
        <v>303</v>
      </c>
    </row>
    <row r="8" spans="1:10" ht="15" x14ac:dyDescent="0.25">
      <c r="A8" s="370" t="s">
        <v>304</v>
      </c>
      <c r="B8" s="371" t="s">
        <v>305</v>
      </c>
      <c r="C8" s="364"/>
      <c r="D8" s="364"/>
      <c r="E8" s="372" t="s">
        <v>306</v>
      </c>
      <c r="F8" s="373"/>
      <c r="G8" s="368" t="s">
        <v>307</v>
      </c>
      <c r="H8" s="368" t="s">
        <v>307</v>
      </c>
      <c r="I8" s="374">
        <v>2014</v>
      </c>
      <c r="J8" s="375" t="s">
        <v>308</v>
      </c>
    </row>
    <row r="9" spans="1:10" ht="15.75" thickBot="1" x14ac:dyDescent="0.3">
      <c r="A9" s="370" t="s">
        <v>309</v>
      </c>
      <c r="B9" s="376"/>
      <c r="C9" s="377"/>
      <c r="D9" s="377"/>
      <c r="E9" s="378"/>
      <c r="F9" s="379"/>
      <c r="G9" s="374"/>
      <c r="H9" s="380"/>
      <c r="I9" s="381"/>
      <c r="J9" s="382"/>
    </row>
    <row r="10" spans="1:10" ht="15" thickBot="1" x14ac:dyDescent="0.25">
      <c r="A10" s="383" t="s">
        <v>0</v>
      </c>
      <c r="B10" s="384" t="s">
        <v>310</v>
      </c>
      <c r="C10" s="385" t="s">
        <v>311</v>
      </c>
      <c r="D10" s="385" t="s">
        <v>312</v>
      </c>
      <c r="E10" s="386" t="s">
        <v>313</v>
      </c>
      <c r="F10" s="386" t="s">
        <v>314</v>
      </c>
      <c r="G10" s="386">
        <v>1</v>
      </c>
      <c r="H10" s="386">
        <v>2</v>
      </c>
      <c r="I10" s="386">
        <v>3</v>
      </c>
      <c r="J10" s="386">
        <v>4</v>
      </c>
    </row>
    <row r="11" spans="1:10" ht="30.75" customHeight="1" x14ac:dyDescent="0.25">
      <c r="A11" s="388" t="s">
        <v>315</v>
      </c>
      <c r="B11" s="389" t="s">
        <v>461</v>
      </c>
      <c r="C11" s="390"/>
      <c r="D11" s="391"/>
      <c r="E11" s="392"/>
      <c r="F11" s="393" t="s">
        <v>462</v>
      </c>
      <c r="G11" s="476">
        <f>SUM(G12)</f>
        <v>1189272</v>
      </c>
      <c r="H11" s="476">
        <f>SUM(H12)</f>
        <v>6098756</v>
      </c>
      <c r="I11" s="476">
        <f>SUM(I12)</f>
        <v>5380936</v>
      </c>
      <c r="J11" s="477">
        <f>SUM($I11/H11)*100</f>
        <v>88.230058720171783</v>
      </c>
    </row>
    <row r="12" spans="1:10" ht="18.75" customHeight="1" x14ac:dyDescent="0.25">
      <c r="A12" s="396" t="s">
        <v>315</v>
      </c>
      <c r="B12" s="478"/>
      <c r="C12" s="418" t="s">
        <v>463</v>
      </c>
      <c r="D12" s="479"/>
      <c r="E12" s="480"/>
      <c r="F12" s="481" t="s">
        <v>464</v>
      </c>
      <c r="G12" s="463">
        <f>SUM(G13+G17+G19+G25+G27+G28)</f>
        <v>1189272</v>
      </c>
      <c r="H12" s="463">
        <f>SUM(H13+H17+H19+H25+H27+H28)</f>
        <v>6098756</v>
      </c>
      <c r="I12" s="463">
        <f>SUM(I13+I17+I19+I25+I27+I28)</f>
        <v>5380936</v>
      </c>
      <c r="J12" s="402">
        <f>SUM($I12/H12)*100</f>
        <v>88.230058720171783</v>
      </c>
    </row>
    <row r="13" spans="1:10" ht="18.75" customHeight="1" x14ac:dyDescent="0.2">
      <c r="A13" s="403" t="s">
        <v>315</v>
      </c>
      <c r="B13" s="482"/>
      <c r="C13" s="483"/>
      <c r="D13" s="423" t="s">
        <v>465</v>
      </c>
      <c r="E13" s="424"/>
      <c r="F13" s="484" t="s">
        <v>466</v>
      </c>
      <c r="G13" s="439">
        <f>SUM(G14:G16)</f>
        <v>3456</v>
      </c>
      <c r="H13" s="439">
        <f>SUM(H14:H16)</f>
        <v>679526</v>
      </c>
      <c r="I13" s="439">
        <f>SUM(I14:I16)</f>
        <v>679526</v>
      </c>
      <c r="J13" s="408">
        <f>SUM($I13/H13)*100</f>
        <v>100</v>
      </c>
    </row>
    <row r="14" spans="1:10" ht="18.75" customHeight="1" x14ac:dyDescent="0.2">
      <c r="A14" s="403"/>
      <c r="B14" s="482"/>
      <c r="C14" s="483"/>
      <c r="D14" s="423"/>
      <c r="E14" s="485" t="s">
        <v>467</v>
      </c>
      <c r="F14" s="486" t="s">
        <v>468</v>
      </c>
      <c r="G14" s="444">
        <v>0</v>
      </c>
      <c r="H14" s="444">
        <v>0</v>
      </c>
      <c r="I14" s="444">
        <v>0</v>
      </c>
      <c r="J14" s="416">
        <v>0</v>
      </c>
    </row>
    <row r="15" spans="1:10" ht="18.75" customHeight="1" x14ac:dyDescent="0.2">
      <c r="A15" s="409" t="s">
        <v>315</v>
      </c>
      <c r="B15" s="487"/>
      <c r="C15" s="488"/>
      <c r="D15" s="412"/>
      <c r="E15" s="489" t="s">
        <v>469</v>
      </c>
      <c r="F15" s="426" t="s">
        <v>470</v>
      </c>
      <c r="G15" s="444">
        <v>3456</v>
      </c>
      <c r="H15" s="444">
        <f>853456-173930</f>
        <v>679526</v>
      </c>
      <c r="I15" s="444">
        <v>679526</v>
      </c>
      <c r="J15" s="416">
        <f>SUM($I15/H15)*100</f>
        <v>100</v>
      </c>
    </row>
    <row r="16" spans="1:10" ht="18.75" customHeight="1" x14ac:dyDescent="0.2">
      <c r="A16" s="409" t="s">
        <v>315</v>
      </c>
      <c r="B16" s="487"/>
      <c r="C16" s="488"/>
      <c r="D16" s="412"/>
      <c r="E16" s="489" t="s">
        <v>471</v>
      </c>
      <c r="F16" s="426" t="s">
        <v>472</v>
      </c>
      <c r="G16" s="444">
        <v>0</v>
      </c>
      <c r="H16" s="444">
        <v>0</v>
      </c>
      <c r="I16" s="444">
        <v>0</v>
      </c>
      <c r="J16" s="416">
        <v>0</v>
      </c>
    </row>
    <row r="17" spans="1:10" ht="18.75" customHeight="1" x14ac:dyDescent="0.2">
      <c r="A17" s="403" t="s">
        <v>315</v>
      </c>
      <c r="B17" s="482"/>
      <c r="C17" s="483"/>
      <c r="D17" s="423" t="s">
        <v>473</v>
      </c>
      <c r="E17" s="424"/>
      <c r="F17" s="431" t="s">
        <v>474</v>
      </c>
      <c r="G17" s="439">
        <f>SUM(G18)</f>
        <v>0</v>
      </c>
      <c r="H17" s="439">
        <f>SUM(H18)</f>
        <v>0</v>
      </c>
      <c r="I17" s="439">
        <f>SUM(I18)</f>
        <v>0</v>
      </c>
      <c r="J17" s="408">
        <v>0</v>
      </c>
    </row>
    <row r="18" spans="1:10" ht="18.75" customHeight="1" x14ac:dyDescent="0.2">
      <c r="A18" s="409" t="s">
        <v>315</v>
      </c>
      <c r="B18" s="487"/>
      <c r="C18" s="488"/>
      <c r="D18" s="412"/>
      <c r="E18" s="489" t="s">
        <v>475</v>
      </c>
      <c r="F18" s="426" t="s">
        <v>400</v>
      </c>
      <c r="G18" s="444">
        <v>0</v>
      </c>
      <c r="H18" s="444">
        <v>0</v>
      </c>
      <c r="I18" s="444">
        <v>0</v>
      </c>
      <c r="J18" s="416">
        <v>0</v>
      </c>
    </row>
    <row r="19" spans="1:10" ht="18.75" customHeight="1" x14ac:dyDescent="0.2">
      <c r="A19" s="403" t="s">
        <v>315</v>
      </c>
      <c r="B19" s="482"/>
      <c r="C19" s="483"/>
      <c r="D19" s="423" t="s">
        <v>476</v>
      </c>
      <c r="E19" s="424"/>
      <c r="F19" s="425" t="s">
        <v>477</v>
      </c>
      <c r="G19" s="439">
        <f>SUM(G20:G24)</f>
        <v>509816</v>
      </c>
      <c r="H19" s="439">
        <f>SUM(H20:H24)</f>
        <v>4529849</v>
      </c>
      <c r="I19" s="439">
        <f>SUM(I20:I24)</f>
        <v>4180138</v>
      </c>
      <c r="J19" s="408">
        <f>SUM($I19/H19)*100</f>
        <v>92.279853037043836</v>
      </c>
    </row>
    <row r="20" spans="1:10" ht="18.75" customHeight="1" x14ac:dyDescent="0.2">
      <c r="A20" s="409" t="s">
        <v>315</v>
      </c>
      <c r="B20" s="417"/>
      <c r="C20" s="490"/>
      <c r="D20" s="412"/>
      <c r="E20" s="489" t="s">
        <v>478</v>
      </c>
      <c r="F20" s="491" t="s">
        <v>479</v>
      </c>
      <c r="G20" s="444">
        <v>30000</v>
      </c>
      <c r="H20" s="444">
        <f>30000-28100</f>
        <v>1900</v>
      </c>
      <c r="I20" s="444">
        <v>1825</v>
      </c>
      <c r="J20" s="416">
        <v>0</v>
      </c>
    </row>
    <row r="21" spans="1:10" ht="18.75" customHeight="1" x14ac:dyDescent="0.2">
      <c r="A21" s="409" t="s">
        <v>315</v>
      </c>
      <c r="B21" s="417"/>
      <c r="C21" s="490"/>
      <c r="D21" s="412"/>
      <c r="E21" s="489" t="s">
        <v>480</v>
      </c>
      <c r="F21" s="491" t="s">
        <v>397</v>
      </c>
      <c r="G21" s="444">
        <v>60816</v>
      </c>
      <c r="H21" s="444">
        <f>2685363+1439594</f>
        <v>4124957</v>
      </c>
      <c r="I21" s="444">
        <v>4124957</v>
      </c>
      <c r="J21" s="416">
        <f t="shared" ref="J21:J26" si="0">SUM($I21/H21)*100</f>
        <v>100</v>
      </c>
    </row>
    <row r="22" spans="1:10" ht="18.75" customHeight="1" x14ac:dyDescent="0.2">
      <c r="A22" s="409" t="s">
        <v>315</v>
      </c>
      <c r="B22" s="417"/>
      <c r="C22" s="490"/>
      <c r="D22" s="412"/>
      <c r="E22" s="489" t="s">
        <v>481</v>
      </c>
      <c r="F22" s="491" t="s">
        <v>398</v>
      </c>
      <c r="G22" s="444">
        <v>0</v>
      </c>
      <c r="H22" s="444">
        <v>6588</v>
      </c>
      <c r="I22" s="444">
        <v>6588</v>
      </c>
      <c r="J22" s="416">
        <f t="shared" si="0"/>
        <v>100</v>
      </c>
    </row>
    <row r="23" spans="1:10" ht="18.75" customHeight="1" x14ac:dyDescent="0.2">
      <c r="A23" s="409" t="s">
        <v>315</v>
      </c>
      <c r="B23" s="417"/>
      <c r="C23" s="490"/>
      <c r="D23" s="412"/>
      <c r="E23" s="489" t="s">
        <v>482</v>
      </c>
      <c r="F23" s="492" t="s">
        <v>399</v>
      </c>
      <c r="G23" s="444">
        <v>8000</v>
      </c>
      <c r="H23" s="444">
        <f>18000-2740</f>
        <v>15260</v>
      </c>
      <c r="I23" s="444">
        <v>12360</v>
      </c>
      <c r="J23" s="416">
        <f t="shared" si="0"/>
        <v>80.996068152031455</v>
      </c>
    </row>
    <row r="24" spans="1:10" ht="18.75" customHeight="1" x14ac:dyDescent="0.2">
      <c r="A24" s="409" t="s">
        <v>315</v>
      </c>
      <c r="B24" s="417"/>
      <c r="C24" s="490"/>
      <c r="D24" s="412"/>
      <c r="E24" s="489" t="s">
        <v>483</v>
      </c>
      <c r="F24" s="492" t="s">
        <v>484</v>
      </c>
      <c r="G24" s="444">
        <v>411000</v>
      </c>
      <c r="H24" s="444">
        <f>463000-81856</f>
        <v>381144</v>
      </c>
      <c r="I24" s="444">
        <v>34408</v>
      </c>
      <c r="J24" s="416">
        <f t="shared" si="0"/>
        <v>9.0275591377537108</v>
      </c>
    </row>
    <row r="25" spans="1:10" ht="18.75" customHeight="1" x14ac:dyDescent="0.2">
      <c r="A25" s="403" t="s">
        <v>315</v>
      </c>
      <c r="B25" s="482"/>
      <c r="C25" s="483"/>
      <c r="D25" s="423" t="s">
        <v>485</v>
      </c>
      <c r="E25" s="424"/>
      <c r="F25" s="431" t="s">
        <v>486</v>
      </c>
      <c r="G25" s="439">
        <f>SUM(G26)</f>
        <v>250000</v>
      </c>
      <c r="H25" s="439">
        <f>SUM(H26)</f>
        <v>398560</v>
      </c>
      <c r="I25" s="439">
        <f>SUM(I26)</f>
        <v>72897</v>
      </c>
      <c r="J25" s="408">
        <f t="shared" si="0"/>
        <v>18.290094339622641</v>
      </c>
    </row>
    <row r="26" spans="1:10" ht="18.75" customHeight="1" x14ac:dyDescent="0.2">
      <c r="A26" s="409" t="s">
        <v>315</v>
      </c>
      <c r="B26" s="436"/>
      <c r="C26" s="493"/>
      <c r="D26" s="494"/>
      <c r="E26" s="495" t="s">
        <v>487</v>
      </c>
      <c r="F26" s="496" t="s">
        <v>488</v>
      </c>
      <c r="G26" s="444">
        <v>250000</v>
      </c>
      <c r="H26" s="444">
        <f>398000+560</f>
        <v>398560</v>
      </c>
      <c r="I26" s="444">
        <v>72897</v>
      </c>
      <c r="J26" s="416">
        <f t="shared" si="0"/>
        <v>18.290094339622641</v>
      </c>
    </row>
    <row r="27" spans="1:10" ht="18.75" customHeight="1" x14ac:dyDescent="0.2">
      <c r="A27" s="403" t="s">
        <v>315</v>
      </c>
      <c r="B27" s="482"/>
      <c r="C27" s="483"/>
      <c r="D27" s="423" t="s">
        <v>489</v>
      </c>
      <c r="E27" s="430"/>
      <c r="F27" s="497" t="s">
        <v>490</v>
      </c>
      <c r="G27" s="439">
        <v>25020</v>
      </c>
      <c r="H27" s="439">
        <f>26270+28330</f>
        <v>54600</v>
      </c>
      <c r="I27" s="439">
        <v>28196</v>
      </c>
      <c r="J27" s="408">
        <f>SUM(I27/H27)*100</f>
        <v>51.641025641025642</v>
      </c>
    </row>
    <row r="28" spans="1:10" ht="18.75" customHeight="1" x14ac:dyDescent="0.2">
      <c r="A28" s="403" t="s">
        <v>315</v>
      </c>
      <c r="B28" s="482"/>
      <c r="C28" s="483"/>
      <c r="D28" s="423" t="s">
        <v>491</v>
      </c>
      <c r="E28" s="430"/>
      <c r="F28" s="498" t="s">
        <v>492</v>
      </c>
      <c r="G28" s="439">
        <f>SUM(G29:G31)</f>
        <v>400980</v>
      </c>
      <c r="H28" s="439">
        <f>SUM(H29:H31)</f>
        <v>436221</v>
      </c>
      <c r="I28" s="439">
        <f>SUM(I29:I31)</f>
        <v>420179</v>
      </c>
      <c r="J28" s="408">
        <f>SUM($I28/H28)*100</f>
        <v>96.322506252564636</v>
      </c>
    </row>
    <row r="29" spans="1:10" ht="18.75" customHeight="1" x14ac:dyDescent="0.2">
      <c r="A29" s="409" t="s">
        <v>315</v>
      </c>
      <c r="B29" s="436"/>
      <c r="C29" s="493"/>
      <c r="D29" s="494"/>
      <c r="E29" s="495" t="s">
        <v>493</v>
      </c>
      <c r="F29" s="496" t="s">
        <v>494</v>
      </c>
      <c r="G29" s="444">
        <v>0</v>
      </c>
      <c r="H29" s="444">
        <v>0</v>
      </c>
      <c r="I29" s="444">
        <v>0</v>
      </c>
      <c r="J29" s="416">
        <v>0</v>
      </c>
    </row>
    <row r="30" spans="1:10" ht="18.75" customHeight="1" x14ac:dyDescent="0.2">
      <c r="A30" s="409" t="s">
        <v>315</v>
      </c>
      <c r="B30" s="436"/>
      <c r="C30" s="493"/>
      <c r="D30" s="494"/>
      <c r="E30" s="495" t="s">
        <v>495</v>
      </c>
      <c r="F30" s="496" t="s">
        <v>496</v>
      </c>
      <c r="G30" s="444">
        <v>374980</v>
      </c>
      <c r="H30" s="444">
        <f>645830-227349</f>
        <v>418481</v>
      </c>
      <c r="I30" s="444">
        <v>402469</v>
      </c>
      <c r="J30" s="416">
        <f>SUM($I30/H30)*100</f>
        <v>96.17378088849911</v>
      </c>
    </row>
    <row r="31" spans="1:10" ht="18.75" customHeight="1" x14ac:dyDescent="0.2">
      <c r="A31" s="409" t="s">
        <v>315</v>
      </c>
      <c r="B31" s="436"/>
      <c r="C31" s="493"/>
      <c r="D31" s="494"/>
      <c r="E31" s="495" t="s">
        <v>497</v>
      </c>
      <c r="F31" s="496" t="s">
        <v>498</v>
      </c>
      <c r="G31" s="444">
        <v>26000</v>
      </c>
      <c r="H31" s="444">
        <f>184000-166260</f>
        <v>17740</v>
      </c>
      <c r="I31" s="444">
        <v>17710</v>
      </c>
      <c r="J31" s="416">
        <f>SUM($I31/H31)*100</f>
        <v>99.830890642615557</v>
      </c>
    </row>
    <row r="32" spans="1:10" ht="15" thickBot="1" x14ac:dyDescent="0.25">
      <c r="A32" s="464"/>
      <c r="B32" s="465"/>
      <c r="C32" s="466"/>
      <c r="D32" s="466"/>
      <c r="E32" s="467"/>
      <c r="F32" s="468"/>
      <c r="G32" s="469"/>
      <c r="H32" s="469"/>
      <c r="I32" s="469"/>
      <c r="J32" s="471"/>
    </row>
    <row r="33" spans="2:6" x14ac:dyDescent="0.2">
      <c r="B33" s="473"/>
      <c r="C33" s="473"/>
      <c r="D33" s="473"/>
      <c r="E33" s="473"/>
      <c r="F33" s="473"/>
    </row>
    <row r="34" spans="2:6" x14ac:dyDescent="0.2">
      <c r="B34" s="473"/>
      <c r="C34" s="473"/>
      <c r="D34" s="473"/>
      <c r="E34" s="473"/>
      <c r="F34" s="473"/>
    </row>
    <row r="35" spans="2:6" x14ac:dyDescent="0.2">
      <c r="B35" s="473"/>
      <c r="C35" s="473"/>
      <c r="D35" s="473"/>
      <c r="E35" s="473"/>
      <c r="F35" s="473"/>
    </row>
    <row r="36" spans="2:6" x14ac:dyDescent="0.2">
      <c r="B36" s="473"/>
      <c r="C36" s="473"/>
      <c r="D36" s="473"/>
      <c r="E36" s="473"/>
      <c r="F36" s="473"/>
    </row>
    <row r="37" spans="2:6" x14ac:dyDescent="0.2">
      <c r="B37" s="473"/>
      <c r="C37" s="473"/>
      <c r="D37" s="473"/>
      <c r="E37" s="473"/>
      <c r="F37" s="473"/>
    </row>
    <row r="38" spans="2:6" x14ac:dyDescent="0.2">
      <c r="B38" s="473"/>
      <c r="C38" s="473"/>
      <c r="D38" s="473"/>
      <c r="E38" s="473"/>
      <c r="F38" s="473"/>
    </row>
    <row r="39" spans="2:6" x14ac:dyDescent="0.2">
      <c r="B39" s="473"/>
      <c r="C39" s="473"/>
      <c r="D39" s="473"/>
      <c r="E39" s="473"/>
      <c r="F39" s="473"/>
    </row>
    <row r="40" spans="2:6" x14ac:dyDescent="0.2">
      <c r="B40" s="473"/>
      <c r="C40" s="473"/>
      <c r="D40" s="473"/>
      <c r="E40" s="473"/>
      <c r="F40" s="473"/>
    </row>
    <row r="41" spans="2:6" x14ac:dyDescent="0.2">
      <c r="B41" s="473"/>
      <c r="C41" s="473"/>
      <c r="D41" s="473"/>
      <c r="E41" s="473"/>
      <c r="F41" s="473"/>
    </row>
    <row r="42" spans="2:6" x14ac:dyDescent="0.2">
      <c r="B42" s="473"/>
      <c r="C42" s="473"/>
      <c r="D42" s="473"/>
      <c r="E42" s="473"/>
      <c r="F42" s="473"/>
    </row>
    <row r="43" spans="2:6" x14ac:dyDescent="0.2">
      <c r="B43" s="473"/>
      <c r="C43" s="473"/>
      <c r="D43" s="473"/>
      <c r="E43" s="473"/>
      <c r="F43" s="473"/>
    </row>
    <row r="44" spans="2:6" x14ac:dyDescent="0.2">
      <c r="B44" s="473"/>
      <c r="C44" s="473"/>
      <c r="D44" s="473"/>
      <c r="E44" s="473"/>
      <c r="F44" s="473"/>
    </row>
    <row r="45" spans="2:6" x14ac:dyDescent="0.2">
      <c r="B45" s="473"/>
      <c r="C45" s="473"/>
      <c r="D45" s="473"/>
      <c r="E45" s="473"/>
      <c r="F45" s="473"/>
    </row>
    <row r="46" spans="2:6" x14ac:dyDescent="0.2">
      <c r="B46" s="473"/>
      <c r="C46" s="473"/>
      <c r="D46" s="473"/>
      <c r="E46" s="473"/>
      <c r="F46" s="473"/>
    </row>
    <row r="47" spans="2:6" x14ac:dyDescent="0.2">
      <c r="B47" s="473"/>
      <c r="C47" s="473"/>
      <c r="D47" s="473"/>
      <c r="E47" s="473"/>
      <c r="F47" s="473"/>
    </row>
    <row r="48" spans="2:6" x14ac:dyDescent="0.2">
      <c r="B48" s="473"/>
      <c r="C48" s="473"/>
      <c r="D48" s="473"/>
      <c r="E48" s="473"/>
      <c r="F48" s="473"/>
    </row>
    <row r="49" spans="2:6" x14ac:dyDescent="0.2">
      <c r="B49" s="473"/>
      <c r="C49" s="473"/>
      <c r="D49" s="473"/>
      <c r="E49" s="473"/>
      <c r="F49" s="473"/>
    </row>
    <row r="50" spans="2:6" x14ac:dyDescent="0.2">
      <c r="B50" s="473"/>
      <c r="C50" s="473"/>
      <c r="D50" s="473"/>
      <c r="E50" s="473"/>
      <c r="F50" s="473"/>
    </row>
    <row r="51" spans="2:6" x14ac:dyDescent="0.2">
      <c r="B51" s="473"/>
      <c r="C51" s="473"/>
      <c r="D51" s="473"/>
      <c r="E51" s="473"/>
      <c r="F51" s="473"/>
    </row>
    <row r="52" spans="2:6" x14ac:dyDescent="0.2">
      <c r="B52" s="473"/>
      <c r="C52" s="473"/>
      <c r="D52" s="473"/>
      <c r="E52" s="473"/>
      <c r="F52" s="473"/>
    </row>
    <row r="53" spans="2:6" x14ac:dyDescent="0.2">
      <c r="B53" s="473"/>
      <c r="C53" s="473"/>
      <c r="D53" s="473"/>
      <c r="E53" s="473"/>
      <c r="F53" s="473"/>
    </row>
    <row r="54" spans="2:6" x14ac:dyDescent="0.2">
      <c r="B54" s="473"/>
      <c r="C54" s="473"/>
      <c r="D54" s="473"/>
      <c r="E54" s="473"/>
      <c r="F54" s="473"/>
    </row>
    <row r="55" spans="2:6" x14ac:dyDescent="0.2">
      <c r="B55" s="473"/>
      <c r="C55" s="473"/>
      <c r="D55" s="473"/>
      <c r="E55" s="473"/>
      <c r="F55" s="473"/>
    </row>
    <row r="56" spans="2:6" x14ac:dyDescent="0.2">
      <c r="B56" s="473"/>
      <c r="C56" s="473"/>
      <c r="D56" s="473"/>
      <c r="E56" s="473"/>
      <c r="F56" s="473"/>
    </row>
    <row r="57" spans="2:6" x14ac:dyDescent="0.2">
      <c r="B57" s="473"/>
      <c r="C57" s="473"/>
      <c r="D57" s="473"/>
      <c r="E57" s="473"/>
      <c r="F57" s="473"/>
    </row>
    <row r="58" spans="2:6" x14ac:dyDescent="0.2">
      <c r="B58" s="473"/>
      <c r="C58" s="473"/>
      <c r="D58" s="473"/>
      <c r="E58" s="473"/>
      <c r="F58" s="473"/>
    </row>
    <row r="59" spans="2:6" x14ac:dyDescent="0.2">
      <c r="B59" s="473"/>
      <c r="C59" s="473"/>
      <c r="D59" s="473"/>
      <c r="E59" s="473"/>
      <c r="F59" s="473"/>
    </row>
    <row r="60" spans="2:6" x14ac:dyDescent="0.2">
      <c r="B60" s="473"/>
      <c r="C60" s="473"/>
      <c r="D60" s="473"/>
      <c r="E60" s="473"/>
      <c r="F60" s="473"/>
    </row>
    <row r="61" spans="2:6" x14ac:dyDescent="0.2">
      <c r="B61" s="473"/>
      <c r="C61" s="473"/>
      <c r="D61" s="473"/>
      <c r="E61" s="473"/>
      <c r="F61" s="473"/>
    </row>
    <row r="62" spans="2:6" x14ac:dyDescent="0.2">
      <c r="B62" s="473"/>
      <c r="C62" s="473"/>
      <c r="D62" s="473"/>
      <c r="E62" s="473"/>
      <c r="F62" s="473"/>
    </row>
    <row r="63" spans="2:6" x14ac:dyDescent="0.2">
      <c r="B63" s="473"/>
      <c r="C63" s="473"/>
      <c r="D63" s="473"/>
      <c r="E63" s="473"/>
      <c r="F63" s="473"/>
    </row>
    <row r="64" spans="2:6" x14ac:dyDescent="0.2">
      <c r="B64" s="473"/>
      <c r="C64" s="473"/>
      <c r="D64" s="473"/>
      <c r="E64" s="473"/>
      <c r="F64" s="473"/>
    </row>
    <row r="65" spans="2:6" x14ac:dyDescent="0.2">
      <c r="B65" s="473"/>
      <c r="C65" s="473"/>
      <c r="D65" s="473"/>
      <c r="E65" s="473"/>
      <c r="F65" s="473"/>
    </row>
    <row r="66" spans="2:6" x14ac:dyDescent="0.2">
      <c r="B66" s="473"/>
      <c r="C66" s="473"/>
      <c r="D66" s="473"/>
      <c r="E66" s="473"/>
      <c r="F66" s="473"/>
    </row>
    <row r="67" spans="2:6" x14ac:dyDescent="0.2">
      <c r="B67" s="473"/>
      <c r="C67" s="473"/>
      <c r="D67" s="473"/>
      <c r="E67" s="473"/>
      <c r="F67" s="473"/>
    </row>
    <row r="68" spans="2:6" x14ac:dyDescent="0.2">
      <c r="B68" s="473"/>
      <c r="C68" s="473"/>
      <c r="D68" s="473"/>
      <c r="E68" s="473"/>
      <c r="F68" s="473"/>
    </row>
    <row r="69" spans="2:6" x14ac:dyDescent="0.2">
      <c r="B69" s="473"/>
      <c r="C69" s="473"/>
      <c r="D69" s="473"/>
      <c r="E69" s="473"/>
      <c r="F69" s="473"/>
    </row>
    <row r="70" spans="2:6" x14ac:dyDescent="0.2">
      <c r="B70" s="473"/>
      <c r="C70" s="473"/>
      <c r="D70" s="473"/>
      <c r="E70" s="473"/>
      <c r="F70" s="473"/>
    </row>
    <row r="71" spans="2:6" x14ac:dyDescent="0.2">
      <c r="B71" s="473"/>
      <c r="C71" s="473"/>
      <c r="D71" s="473"/>
      <c r="E71" s="473"/>
      <c r="F71" s="473"/>
    </row>
    <row r="72" spans="2:6" x14ac:dyDescent="0.2">
      <c r="B72" s="473"/>
      <c r="C72" s="473"/>
      <c r="D72" s="473"/>
      <c r="E72" s="473"/>
      <c r="F72" s="473"/>
    </row>
    <row r="73" spans="2:6" x14ac:dyDescent="0.2">
      <c r="B73" s="473"/>
      <c r="C73" s="473"/>
      <c r="D73" s="473"/>
      <c r="E73" s="473"/>
      <c r="F73" s="473"/>
    </row>
    <row r="74" spans="2:6" x14ac:dyDescent="0.2">
      <c r="B74" s="473"/>
      <c r="C74" s="473"/>
      <c r="D74" s="473"/>
      <c r="E74" s="473"/>
      <c r="F74" s="473"/>
    </row>
    <row r="75" spans="2:6" x14ac:dyDescent="0.2">
      <c r="B75" s="473"/>
      <c r="C75" s="473"/>
      <c r="D75" s="473"/>
      <c r="E75" s="473"/>
      <c r="F75" s="473"/>
    </row>
    <row r="76" spans="2:6" x14ac:dyDescent="0.2">
      <c r="B76" s="473"/>
      <c r="C76" s="473"/>
      <c r="D76" s="473"/>
      <c r="E76" s="473"/>
      <c r="F76" s="473"/>
    </row>
    <row r="77" spans="2:6" x14ac:dyDescent="0.2">
      <c r="B77" s="473"/>
      <c r="C77" s="473"/>
      <c r="D77" s="473"/>
      <c r="E77" s="473"/>
      <c r="F77" s="473"/>
    </row>
    <row r="78" spans="2:6" x14ac:dyDescent="0.2">
      <c r="B78" s="473"/>
      <c r="C78" s="473"/>
      <c r="D78" s="473"/>
      <c r="E78" s="473"/>
      <c r="F78" s="473"/>
    </row>
    <row r="79" spans="2:6" x14ac:dyDescent="0.2">
      <c r="B79" s="473"/>
      <c r="C79" s="473"/>
      <c r="D79" s="473"/>
      <c r="E79" s="473"/>
      <c r="F79" s="473"/>
    </row>
    <row r="80" spans="2:6" x14ac:dyDescent="0.2">
      <c r="B80" s="473"/>
      <c r="C80" s="473"/>
      <c r="D80" s="473"/>
      <c r="E80" s="473"/>
      <c r="F80" s="473"/>
    </row>
    <row r="81" spans="2:6" x14ac:dyDescent="0.2">
      <c r="B81" s="473"/>
      <c r="C81" s="473"/>
      <c r="D81" s="473"/>
      <c r="E81" s="473"/>
      <c r="F81" s="473"/>
    </row>
    <row r="82" spans="2:6" x14ac:dyDescent="0.2">
      <c r="B82" s="473"/>
      <c r="C82" s="473"/>
      <c r="D82" s="473"/>
      <c r="E82" s="473"/>
      <c r="F82" s="473"/>
    </row>
    <row r="83" spans="2:6" x14ac:dyDescent="0.2">
      <c r="B83" s="473"/>
      <c r="C83" s="473"/>
      <c r="D83" s="473"/>
      <c r="E83" s="473"/>
      <c r="F83" s="473"/>
    </row>
    <row r="84" spans="2:6" x14ac:dyDescent="0.2">
      <c r="B84" s="473"/>
      <c r="C84" s="473"/>
      <c r="D84" s="473"/>
      <c r="E84" s="473"/>
      <c r="F84" s="473"/>
    </row>
    <row r="85" spans="2:6" x14ac:dyDescent="0.2">
      <c r="B85" s="473"/>
      <c r="C85" s="473"/>
      <c r="D85" s="473"/>
      <c r="E85" s="473"/>
      <c r="F85" s="473"/>
    </row>
    <row r="86" spans="2:6" x14ac:dyDescent="0.2">
      <c r="B86" s="473"/>
      <c r="C86" s="473"/>
      <c r="D86" s="473"/>
      <c r="E86" s="473"/>
      <c r="F86" s="473"/>
    </row>
    <row r="87" spans="2:6" x14ac:dyDescent="0.2">
      <c r="B87" s="473"/>
      <c r="C87" s="473"/>
      <c r="D87" s="473"/>
      <c r="E87" s="473"/>
      <c r="F87" s="473"/>
    </row>
    <row r="88" spans="2:6" x14ac:dyDescent="0.2">
      <c r="B88" s="473"/>
      <c r="C88" s="473"/>
      <c r="D88" s="473"/>
      <c r="E88" s="473"/>
      <c r="F88" s="473"/>
    </row>
    <row r="89" spans="2:6" x14ac:dyDescent="0.2">
      <c r="B89" s="473"/>
      <c r="C89" s="473"/>
      <c r="D89" s="473"/>
      <c r="E89" s="473"/>
      <c r="F89" s="473"/>
    </row>
    <row r="90" spans="2:6" x14ac:dyDescent="0.2">
      <c r="B90" s="473"/>
      <c r="C90" s="473"/>
      <c r="D90" s="473"/>
      <c r="E90" s="473"/>
      <c r="F90" s="473"/>
    </row>
    <row r="91" spans="2:6" x14ac:dyDescent="0.2">
      <c r="B91" s="473"/>
      <c r="C91" s="473"/>
      <c r="D91" s="473"/>
      <c r="E91" s="473"/>
      <c r="F91" s="473"/>
    </row>
    <row r="92" spans="2:6" x14ac:dyDescent="0.2">
      <c r="B92" s="473"/>
      <c r="C92" s="473"/>
      <c r="D92" s="473"/>
      <c r="E92" s="473"/>
      <c r="F92" s="473"/>
    </row>
    <row r="93" spans="2:6" x14ac:dyDescent="0.2">
      <c r="B93" s="473"/>
      <c r="C93" s="473"/>
      <c r="D93" s="473"/>
      <c r="E93" s="473"/>
      <c r="F93" s="473"/>
    </row>
    <row r="94" spans="2:6" x14ac:dyDescent="0.2">
      <c r="B94" s="473"/>
      <c r="C94" s="473"/>
      <c r="D94" s="473"/>
      <c r="E94" s="473"/>
      <c r="F94" s="473"/>
    </row>
    <row r="95" spans="2:6" x14ac:dyDescent="0.2">
      <c r="B95" s="473"/>
      <c r="C95" s="473"/>
      <c r="D95" s="473"/>
      <c r="E95" s="473"/>
      <c r="F95" s="473"/>
    </row>
    <row r="96" spans="2:6" x14ac:dyDescent="0.2">
      <c r="B96" s="473"/>
      <c r="C96" s="473"/>
      <c r="D96" s="473"/>
      <c r="E96" s="473"/>
      <c r="F96" s="473"/>
    </row>
    <row r="97" spans="2:6" x14ac:dyDescent="0.2">
      <c r="B97" s="473"/>
      <c r="C97" s="473"/>
      <c r="D97" s="473"/>
      <c r="E97" s="473"/>
      <c r="F97" s="473"/>
    </row>
    <row r="98" spans="2:6" x14ac:dyDescent="0.2">
      <c r="B98" s="473"/>
      <c r="C98" s="473"/>
      <c r="D98" s="473"/>
      <c r="E98" s="473"/>
      <c r="F98" s="473"/>
    </row>
    <row r="99" spans="2:6" x14ac:dyDescent="0.2">
      <c r="B99" s="473"/>
      <c r="C99" s="473"/>
      <c r="D99" s="473"/>
      <c r="E99" s="473"/>
      <c r="F99" s="473"/>
    </row>
    <row r="100" spans="2:6" x14ac:dyDescent="0.2">
      <c r="B100" s="473"/>
      <c r="C100" s="473"/>
      <c r="D100" s="473"/>
      <c r="E100" s="473"/>
      <c r="F100" s="473"/>
    </row>
    <row r="101" spans="2:6" x14ac:dyDescent="0.2">
      <c r="B101" s="473"/>
      <c r="C101" s="473"/>
      <c r="D101" s="473"/>
      <c r="E101" s="473"/>
      <c r="F101" s="473"/>
    </row>
    <row r="102" spans="2:6" x14ac:dyDescent="0.2">
      <c r="B102" s="473"/>
      <c r="C102" s="473"/>
      <c r="D102" s="473"/>
      <c r="E102" s="473"/>
      <c r="F102" s="473"/>
    </row>
    <row r="103" spans="2:6" x14ac:dyDescent="0.2">
      <c r="B103" s="473"/>
      <c r="C103" s="473"/>
      <c r="D103" s="473"/>
      <c r="E103" s="473"/>
      <c r="F103" s="473"/>
    </row>
    <row r="104" spans="2:6" x14ac:dyDescent="0.2">
      <c r="B104" s="473"/>
      <c r="C104" s="473"/>
      <c r="D104" s="473"/>
      <c r="E104" s="473"/>
      <c r="F104" s="473"/>
    </row>
    <row r="105" spans="2:6" x14ac:dyDescent="0.2">
      <c r="B105" s="473"/>
      <c r="C105" s="473"/>
      <c r="D105" s="473"/>
      <c r="E105" s="473"/>
      <c r="F105" s="473"/>
    </row>
    <row r="106" spans="2:6" x14ac:dyDescent="0.2">
      <c r="B106" s="473"/>
      <c r="C106" s="473"/>
      <c r="D106" s="473"/>
      <c r="E106" s="473"/>
      <c r="F106" s="473"/>
    </row>
    <row r="107" spans="2:6" x14ac:dyDescent="0.2">
      <c r="B107" s="473"/>
      <c r="C107" s="473"/>
      <c r="D107" s="473"/>
      <c r="E107" s="473"/>
      <c r="F107" s="473"/>
    </row>
    <row r="108" spans="2:6" x14ac:dyDescent="0.2">
      <c r="B108" s="473"/>
      <c r="C108" s="473"/>
      <c r="D108" s="473"/>
      <c r="E108" s="473"/>
      <c r="F108" s="473"/>
    </row>
    <row r="109" spans="2:6" x14ac:dyDescent="0.2">
      <c r="B109" s="473"/>
      <c r="C109" s="473"/>
      <c r="D109" s="473"/>
      <c r="E109" s="473"/>
      <c r="F109" s="473"/>
    </row>
    <row r="110" spans="2:6" x14ac:dyDescent="0.2">
      <c r="B110" s="473"/>
      <c r="C110" s="473"/>
      <c r="D110" s="473"/>
      <c r="E110" s="473"/>
      <c r="F110" s="473"/>
    </row>
    <row r="111" spans="2:6" x14ac:dyDescent="0.2">
      <c r="B111" s="473"/>
      <c r="C111" s="473"/>
      <c r="D111" s="473"/>
      <c r="E111" s="473"/>
      <c r="F111" s="473"/>
    </row>
    <row r="112" spans="2:6" x14ac:dyDescent="0.2">
      <c r="B112" s="473"/>
      <c r="C112" s="473"/>
      <c r="D112" s="473"/>
      <c r="E112" s="473"/>
      <c r="F112" s="473"/>
    </row>
    <row r="113" spans="2:6" x14ac:dyDescent="0.2">
      <c r="B113" s="473"/>
      <c r="C113" s="473"/>
      <c r="D113" s="473"/>
      <c r="E113" s="473"/>
      <c r="F113" s="473"/>
    </row>
    <row r="114" spans="2:6" x14ac:dyDescent="0.2">
      <c r="B114" s="473"/>
      <c r="C114" s="473"/>
      <c r="D114" s="473"/>
      <c r="E114" s="473"/>
      <c r="F114" s="473"/>
    </row>
    <row r="115" spans="2:6" x14ac:dyDescent="0.2">
      <c r="B115" s="473"/>
      <c r="C115" s="473"/>
      <c r="D115" s="473"/>
      <c r="E115" s="473"/>
      <c r="F115" s="473"/>
    </row>
    <row r="116" spans="2:6" x14ac:dyDescent="0.2">
      <c r="B116" s="473"/>
      <c r="C116" s="473"/>
      <c r="D116" s="473"/>
      <c r="E116" s="473"/>
      <c r="F116" s="473"/>
    </row>
    <row r="117" spans="2:6" x14ac:dyDescent="0.2">
      <c r="B117" s="473"/>
      <c r="C117" s="473"/>
      <c r="D117" s="473"/>
      <c r="E117" s="473"/>
      <c r="F117" s="473"/>
    </row>
    <row r="118" spans="2:6" x14ac:dyDescent="0.2">
      <c r="B118" s="473"/>
      <c r="C118" s="473"/>
      <c r="D118" s="473"/>
      <c r="E118" s="473"/>
      <c r="F118" s="473"/>
    </row>
    <row r="119" spans="2:6" x14ac:dyDescent="0.2">
      <c r="B119" s="473"/>
      <c r="C119" s="473"/>
      <c r="D119" s="473"/>
      <c r="E119" s="473"/>
      <c r="F119" s="473"/>
    </row>
    <row r="120" spans="2:6" x14ac:dyDescent="0.2">
      <c r="B120" s="473"/>
      <c r="C120" s="473"/>
      <c r="D120" s="473"/>
      <c r="E120" s="473"/>
      <c r="F120" s="473"/>
    </row>
    <row r="121" spans="2:6" x14ac:dyDescent="0.2">
      <c r="B121" s="473"/>
      <c r="C121" s="473"/>
      <c r="D121" s="473"/>
      <c r="E121" s="473"/>
      <c r="F121" s="473"/>
    </row>
    <row r="122" spans="2:6" x14ac:dyDescent="0.2">
      <c r="B122" s="473"/>
      <c r="C122" s="473"/>
      <c r="D122" s="473"/>
      <c r="E122" s="473"/>
      <c r="F122" s="473"/>
    </row>
    <row r="123" spans="2:6" x14ac:dyDescent="0.2">
      <c r="B123" s="473"/>
      <c r="C123" s="473"/>
      <c r="D123" s="473"/>
      <c r="E123" s="473"/>
      <c r="F123" s="473"/>
    </row>
    <row r="124" spans="2:6" x14ac:dyDescent="0.2">
      <c r="B124" s="473"/>
      <c r="C124" s="473"/>
      <c r="D124" s="473"/>
      <c r="E124" s="473"/>
      <c r="F124" s="473"/>
    </row>
    <row r="125" spans="2:6" x14ac:dyDescent="0.2">
      <c r="B125" s="473"/>
      <c r="C125" s="473"/>
      <c r="D125" s="473"/>
      <c r="E125" s="473"/>
      <c r="F125" s="473"/>
    </row>
    <row r="126" spans="2:6" x14ac:dyDescent="0.2">
      <c r="B126" s="473"/>
      <c r="C126" s="473"/>
      <c r="D126" s="473"/>
      <c r="E126" s="473"/>
      <c r="F126" s="473"/>
    </row>
    <row r="127" spans="2:6" x14ac:dyDescent="0.2">
      <c r="B127" s="473"/>
      <c r="C127" s="473"/>
      <c r="D127" s="473"/>
      <c r="E127" s="473"/>
      <c r="F127" s="473"/>
    </row>
    <row r="128" spans="2:6" x14ac:dyDescent="0.2">
      <c r="B128" s="473"/>
      <c r="C128" s="473"/>
      <c r="D128" s="473"/>
      <c r="E128" s="473"/>
      <c r="F128" s="473"/>
    </row>
    <row r="129" spans="2:6" x14ac:dyDescent="0.2">
      <c r="B129" s="473"/>
      <c r="C129" s="473"/>
      <c r="D129" s="473"/>
      <c r="E129" s="473"/>
      <c r="F129" s="473"/>
    </row>
    <row r="130" spans="2:6" x14ac:dyDescent="0.2">
      <c r="B130" s="473"/>
      <c r="C130" s="473"/>
      <c r="D130" s="473"/>
      <c r="E130" s="473"/>
      <c r="F130" s="473"/>
    </row>
    <row r="131" spans="2:6" x14ac:dyDescent="0.2">
      <c r="B131" s="473"/>
      <c r="C131" s="473"/>
      <c r="D131" s="473"/>
      <c r="E131" s="473"/>
      <c r="F131" s="473"/>
    </row>
    <row r="132" spans="2:6" x14ac:dyDescent="0.2">
      <c r="B132" s="473"/>
      <c r="C132" s="473"/>
      <c r="D132" s="473"/>
      <c r="E132" s="473"/>
      <c r="F132" s="473"/>
    </row>
    <row r="133" spans="2:6" x14ac:dyDescent="0.2">
      <c r="B133" s="473"/>
      <c r="C133" s="473"/>
      <c r="D133" s="473"/>
      <c r="E133" s="473"/>
      <c r="F133" s="473"/>
    </row>
    <row r="134" spans="2:6" x14ac:dyDescent="0.2">
      <c r="B134" s="473"/>
      <c r="C134" s="473"/>
      <c r="D134" s="473"/>
      <c r="E134" s="473"/>
      <c r="F134" s="473"/>
    </row>
    <row r="135" spans="2:6" x14ac:dyDescent="0.2">
      <c r="B135" s="473"/>
      <c r="C135" s="473"/>
      <c r="D135" s="473"/>
      <c r="E135" s="473"/>
      <c r="F135" s="473"/>
    </row>
    <row r="136" spans="2:6" x14ac:dyDescent="0.2">
      <c r="B136" s="473"/>
      <c r="C136" s="473"/>
      <c r="D136" s="473"/>
      <c r="E136" s="473"/>
      <c r="F136" s="473"/>
    </row>
    <row r="137" spans="2:6" x14ac:dyDescent="0.2">
      <c r="B137" s="473"/>
      <c r="C137" s="473"/>
      <c r="D137" s="473"/>
      <c r="E137" s="473"/>
      <c r="F137" s="473"/>
    </row>
    <row r="138" spans="2:6" x14ac:dyDescent="0.2">
      <c r="B138" s="473"/>
      <c r="C138" s="473"/>
      <c r="D138" s="473"/>
      <c r="E138" s="473"/>
      <c r="F138" s="473"/>
    </row>
    <row r="139" spans="2:6" x14ac:dyDescent="0.2">
      <c r="B139" s="473"/>
      <c r="C139" s="473"/>
      <c r="D139" s="473"/>
      <c r="E139" s="473"/>
      <c r="F139" s="473"/>
    </row>
    <row r="140" spans="2:6" x14ac:dyDescent="0.2">
      <c r="B140" s="473"/>
      <c r="C140" s="473"/>
      <c r="D140" s="473"/>
      <c r="E140" s="473"/>
      <c r="F140" s="473"/>
    </row>
    <row r="141" spans="2:6" x14ac:dyDescent="0.2">
      <c r="B141" s="473"/>
      <c r="C141" s="473"/>
      <c r="D141" s="473"/>
      <c r="E141" s="473"/>
      <c r="F141" s="473"/>
    </row>
    <row r="142" spans="2:6" x14ac:dyDescent="0.2">
      <c r="B142" s="473"/>
      <c r="C142" s="473"/>
      <c r="D142" s="473"/>
      <c r="E142" s="473"/>
      <c r="F142" s="473"/>
    </row>
    <row r="143" spans="2:6" x14ac:dyDescent="0.2">
      <c r="B143" s="473"/>
      <c r="C143" s="473"/>
      <c r="D143" s="473"/>
      <c r="E143" s="473"/>
      <c r="F143" s="473"/>
    </row>
    <row r="144" spans="2:6" x14ac:dyDescent="0.2">
      <c r="B144" s="473"/>
      <c r="C144" s="473"/>
      <c r="D144" s="473"/>
      <c r="E144" s="473"/>
      <c r="F144" s="473"/>
    </row>
    <row r="145" spans="2:6" x14ac:dyDescent="0.2">
      <c r="B145" s="473"/>
      <c r="C145" s="473"/>
      <c r="D145" s="473"/>
      <c r="E145" s="473"/>
      <c r="F145" s="473"/>
    </row>
    <row r="146" spans="2:6" x14ac:dyDescent="0.2">
      <c r="B146" s="473"/>
      <c r="C146" s="473"/>
      <c r="D146" s="473"/>
      <c r="E146" s="473"/>
      <c r="F146" s="473"/>
    </row>
    <row r="147" spans="2:6" x14ac:dyDescent="0.2">
      <c r="B147" s="473"/>
      <c r="C147" s="473"/>
      <c r="D147" s="473"/>
      <c r="E147" s="473"/>
      <c r="F147" s="473"/>
    </row>
    <row r="148" spans="2:6" x14ac:dyDescent="0.2">
      <c r="B148" s="473"/>
      <c r="C148" s="473"/>
      <c r="D148" s="473"/>
      <c r="E148" s="473"/>
      <c r="F148" s="473"/>
    </row>
    <row r="149" spans="2:6" x14ac:dyDescent="0.2">
      <c r="B149" s="473"/>
      <c r="C149" s="473"/>
      <c r="D149" s="473"/>
      <c r="E149" s="473"/>
      <c r="F149" s="473"/>
    </row>
    <row r="150" spans="2:6" x14ac:dyDescent="0.2">
      <c r="B150" s="473"/>
      <c r="C150" s="473"/>
      <c r="D150" s="473"/>
      <c r="E150" s="473"/>
      <c r="F150" s="473"/>
    </row>
    <row r="151" spans="2:6" x14ac:dyDescent="0.2">
      <c r="B151" s="473"/>
      <c r="C151" s="473"/>
      <c r="D151" s="473"/>
      <c r="E151" s="473"/>
      <c r="F151" s="473"/>
    </row>
    <row r="152" spans="2:6" x14ac:dyDescent="0.2">
      <c r="B152" s="473"/>
      <c r="C152" s="473"/>
      <c r="D152" s="473"/>
      <c r="E152" s="473"/>
      <c r="F152" s="473"/>
    </row>
    <row r="153" spans="2:6" x14ac:dyDescent="0.2">
      <c r="B153" s="473"/>
      <c r="C153" s="473"/>
      <c r="D153" s="473"/>
      <c r="E153" s="473"/>
      <c r="F153" s="473"/>
    </row>
    <row r="154" spans="2:6" x14ac:dyDescent="0.2">
      <c r="B154" s="473"/>
      <c r="C154" s="473"/>
      <c r="D154" s="473"/>
      <c r="E154" s="473"/>
      <c r="F154" s="473"/>
    </row>
    <row r="155" spans="2:6" x14ac:dyDescent="0.2">
      <c r="B155" s="473"/>
      <c r="C155" s="473"/>
      <c r="D155" s="473"/>
      <c r="E155" s="473"/>
      <c r="F155" s="473"/>
    </row>
    <row r="156" spans="2:6" x14ac:dyDescent="0.2">
      <c r="B156" s="473"/>
      <c r="C156" s="473"/>
      <c r="D156" s="473"/>
      <c r="E156" s="473"/>
      <c r="F156" s="473"/>
    </row>
    <row r="157" spans="2:6" x14ac:dyDescent="0.2">
      <c r="B157" s="473"/>
      <c r="C157" s="473"/>
      <c r="D157" s="473"/>
      <c r="E157" s="473"/>
      <c r="F157" s="473"/>
    </row>
    <row r="158" spans="2:6" x14ac:dyDescent="0.2">
      <c r="B158" s="473"/>
      <c r="C158" s="473"/>
      <c r="D158" s="473"/>
      <c r="E158" s="473"/>
      <c r="F158" s="473"/>
    </row>
    <row r="159" spans="2:6" x14ac:dyDescent="0.2">
      <c r="B159" s="473"/>
      <c r="C159" s="473"/>
      <c r="D159" s="473"/>
      <c r="E159" s="473"/>
      <c r="F159" s="473"/>
    </row>
    <row r="160" spans="2:6" x14ac:dyDescent="0.2">
      <c r="B160" s="473"/>
      <c r="C160" s="473"/>
      <c r="D160" s="473"/>
      <c r="E160" s="473"/>
      <c r="F160" s="473"/>
    </row>
    <row r="161" spans="2:6" x14ac:dyDescent="0.2">
      <c r="B161" s="473"/>
      <c r="C161" s="473"/>
      <c r="D161" s="473"/>
      <c r="E161" s="473"/>
      <c r="F161" s="473"/>
    </row>
    <row r="162" spans="2:6" x14ac:dyDescent="0.2">
      <c r="B162" s="473"/>
      <c r="C162" s="473"/>
      <c r="D162" s="473"/>
      <c r="E162" s="473"/>
      <c r="F162" s="473"/>
    </row>
    <row r="163" spans="2:6" x14ac:dyDescent="0.2">
      <c r="B163" s="473"/>
      <c r="C163" s="473"/>
      <c r="D163" s="473"/>
      <c r="E163" s="473"/>
      <c r="F163" s="473"/>
    </row>
    <row r="164" spans="2:6" x14ac:dyDescent="0.2">
      <c r="B164" s="473"/>
      <c r="C164" s="473"/>
      <c r="D164" s="473"/>
      <c r="E164" s="473"/>
      <c r="F164" s="473"/>
    </row>
    <row r="165" spans="2:6" x14ac:dyDescent="0.2">
      <c r="B165" s="473"/>
      <c r="C165" s="473"/>
      <c r="D165" s="473"/>
      <c r="E165" s="473"/>
      <c r="F165" s="473"/>
    </row>
    <row r="166" spans="2:6" x14ac:dyDescent="0.2">
      <c r="B166" s="473"/>
      <c r="C166" s="473"/>
      <c r="D166" s="473"/>
      <c r="E166" s="473"/>
      <c r="F166" s="473"/>
    </row>
    <row r="167" spans="2:6" x14ac:dyDescent="0.2">
      <c r="B167" s="473"/>
      <c r="C167" s="473"/>
      <c r="D167" s="473"/>
      <c r="E167" s="473"/>
      <c r="F167" s="473"/>
    </row>
    <row r="168" spans="2:6" x14ac:dyDescent="0.2">
      <c r="B168" s="473"/>
      <c r="C168" s="473"/>
      <c r="D168" s="473"/>
      <c r="E168" s="473"/>
      <c r="F168" s="473"/>
    </row>
    <row r="169" spans="2:6" x14ac:dyDescent="0.2">
      <c r="B169" s="473"/>
      <c r="C169" s="473"/>
      <c r="D169" s="473"/>
      <c r="E169" s="473"/>
      <c r="F169" s="473"/>
    </row>
    <row r="170" spans="2:6" x14ac:dyDescent="0.2">
      <c r="B170" s="473"/>
      <c r="C170" s="473"/>
      <c r="D170" s="473"/>
      <c r="E170" s="473"/>
      <c r="F170" s="473"/>
    </row>
    <row r="171" spans="2:6" x14ac:dyDescent="0.2">
      <c r="B171" s="473"/>
      <c r="C171" s="473"/>
      <c r="D171" s="473"/>
      <c r="E171" s="473"/>
      <c r="F171" s="473"/>
    </row>
    <row r="172" spans="2:6" x14ac:dyDescent="0.2">
      <c r="B172" s="473"/>
      <c r="C172" s="473"/>
      <c r="D172" s="473"/>
      <c r="E172" s="473"/>
      <c r="F172" s="473"/>
    </row>
    <row r="173" spans="2:6" x14ac:dyDescent="0.2">
      <c r="B173" s="473"/>
      <c r="C173" s="473"/>
      <c r="D173" s="473"/>
      <c r="E173" s="473"/>
      <c r="F173" s="473"/>
    </row>
    <row r="174" spans="2:6" x14ac:dyDescent="0.2">
      <c r="B174" s="473"/>
      <c r="C174" s="473"/>
      <c r="D174" s="473"/>
      <c r="E174" s="473"/>
      <c r="F174" s="473"/>
    </row>
    <row r="175" spans="2:6" x14ac:dyDescent="0.2">
      <c r="B175" s="473"/>
      <c r="C175" s="473"/>
      <c r="D175" s="473"/>
      <c r="E175" s="473"/>
      <c r="F175" s="473"/>
    </row>
    <row r="176" spans="2:6" x14ac:dyDescent="0.2">
      <c r="B176" s="473"/>
      <c r="C176" s="473"/>
      <c r="D176" s="473"/>
      <c r="E176" s="473"/>
      <c r="F176" s="473"/>
    </row>
    <row r="177" spans="2:6" x14ac:dyDescent="0.2">
      <c r="B177" s="473"/>
      <c r="C177" s="473"/>
      <c r="D177" s="473"/>
      <c r="E177" s="473"/>
      <c r="F177" s="473"/>
    </row>
    <row r="178" spans="2:6" x14ac:dyDescent="0.2">
      <c r="B178" s="473"/>
      <c r="C178" s="473"/>
      <c r="D178" s="473"/>
      <c r="E178" s="473"/>
      <c r="F178" s="473"/>
    </row>
    <row r="179" spans="2:6" x14ac:dyDescent="0.2">
      <c r="B179" s="473"/>
      <c r="C179" s="473"/>
      <c r="D179" s="473"/>
      <c r="E179" s="473"/>
      <c r="F179" s="473"/>
    </row>
    <row r="180" spans="2:6" x14ac:dyDescent="0.2">
      <c r="B180" s="473"/>
      <c r="C180" s="473"/>
      <c r="D180" s="473"/>
      <c r="E180" s="473"/>
      <c r="F180" s="473"/>
    </row>
    <row r="181" spans="2:6" x14ac:dyDescent="0.2">
      <c r="B181" s="473"/>
      <c r="C181" s="473"/>
      <c r="D181" s="473"/>
      <c r="E181" s="473"/>
      <c r="F181" s="473"/>
    </row>
    <row r="182" spans="2:6" x14ac:dyDescent="0.2">
      <c r="B182" s="473"/>
      <c r="C182" s="473"/>
      <c r="D182" s="473"/>
      <c r="E182" s="473"/>
      <c r="F182" s="473"/>
    </row>
    <row r="183" spans="2:6" x14ac:dyDescent="0.2">
      <c r="B183" s="473"/>
      <c r="C183" s="473"/>
      <c r="D183" s="473"/>
      <c r="E183" s="473"/>
      <c r="F183" s="473"/>
    </row>
    <row r="184" spans="2:6" x14ac:dyDescent="0.2">
      <c r="B184" s="473"/>
      <c r="C184" s="473"/>
      <c r="D184" s="473"/>
      <c r="E184" s="473"/>
      <c r="F184" s="473"/>
    </row>
    <row r="185" spans="2:6" x14ac:dyDescent="0.2">
      <c r="B185" s="473"/>
      <c r="C185" s="473"/>
      <c r="D185" s="473"/>
      <c r="E185" s="473"/>
      <c r="F185" s="473"/>
    </row>
    <row r="186" spans="2:6" x14ac:dyDescent="0.2">
      <c r="B186" s="473"/>
      <c r="C186" s="473"/>
      <c r="D186" s="473"/>
      <c r="E186" s="473"/>
      <c r="F186" s="473"/>
    </row>
    <row r="187" spans="2:6" x14ac:dyDescent="0.2">
      <c r="B187" s="473"/>
      <c r="C187" s="473"/>
      <c r="D187" s="473"/>
      <c r="E187" s="473"/>
      <c r="F187" s="473"/>
    </row>
    <row r="188" spans="2:6" x14ac:dyDescent="0.2">
      <c r="B188" s="473"/>
      <c r="C188" s="473"/>
      <c r="D188" s="473"/>
      <c r="E188" s="473"/>
      <c r="F188" s="473"/>
    </row>
    <row r="189" spans="2:6" x14ac:dyDescent="0.2">
      <c r="B189" s="473"/>
      <c r="C189" s="473"/>
      <c r="D189" s="473"/>
      <c r="E189" s="473"/>
      <c r="F189" s="473"/>
    </row>
    <row r="190" spans="2:6" x14ac:dyDescent="0.2">
      <c r="B190" s="473"/>
      <c r="C190" s="473"/>
      <c r="D190" s="473"/>
      <c r="E190" s="473"/>
      <c r="F190" s="473"/>
    </row>
    <row r="191" spans="2:6" x14ac:dyDescent="0.2">
      <c r="B191" s="473"/>
      <c r="C191" s="473"/>
      <c r="D191" s="473"/>
      <c r="E191" s="473"/>
      <c r="F191" s="473"/>
    </row>
    <row r="192" spans="2:6" x14ac:dyDescent="0.2">
      <c r="B192" s="473"/>
      <c r="C192" s="473"/>
      <c r="D192" s="473"/>
      <c r="E192" s="473"/>
      <c r="F192" s="473"/>
    </row>
    <row r="193" spans="2:6" x14ac:dyDescent="0.2">
      <c r="B193" s="473"/>
      <c r="C193" s="473"/>
      <c r="D193" s="473"/>
      <c r="E193" s="473"/>
      <c r="F193" s="473"/>
    </row>
    <row r="194" spans="2:6" x14ac:dyDescent="0.2">
      <c r="B194" s="473"/>
      <c r="C194" s="473"/>
      <c r="D194" s="473"/>
      <c r="E194" s="473"/>
      <c r="F194" s="473"/>
    </row>
    <row r="195" spans="2:6" x14ac:dyDescent="0.2">
      <c r="B195" s="473"/>
      <c r="C195" s="473"/>
      <c r="D195" s="473"/>
      <c r="E195" s="473"/>
      <c r="F195" s="473"/>
    </row>
    <row r="196" spans="2:6" x14ac:dyDescent="0.2">
      <c r="B196" s="473"/>
      <c r="C196" s="473"/>
      <c r="D196" s="473"/>
      <c r="E196" s="473"/>
      <c r="F196" s="473"/>
    </row>
    <row r="197" spans="2:6" x14ac:dyDescent="0.2">
      <c r="B197" s="473"/>
      <c r="C197" s="473"/>
      <c r="D197" s="473"/>
      <c r="E197" s="473"/>
      <c r="F197" s="473"/>
    </row>
    <row r="198" spans="2:6" x14ac:dyDescent="0.2">
      <c r="B198" s="473"/>
      <c r="C198" s="473"/>
      <c r="D198" s="473"/>
      <c r="E198" s="473"/>
      <c r="F198" s="473"/>
    </row>
    <row r="199" spans="2:6" x14ac:dyDescent="0.2">
      <c r="B199" s="473"/>
      <c r="C199" s="473"/>
      <c r="D199" s="473"/>
      <c r="E199" s="473"/>
      <c r="F199" s="473"/>
    </row>
    <row r="200" spans="2:6" x14ac:dyDescent="0.2">
      <c r="B200" s="473"/>
      <c r="C200" s="473"/>
      <c r="D200" s="473"/>
      <c r="E200" s="473"/>
      <c r="F200" s="473"/>
    </row>
    <row r="201" spans="2:6" x14ac:dyDescent="0.2">
      <c r="B201" s="473"/>
      <c r="C201" s="473"/>
      <c r="D201" s="473"/>
      <c r="E201" s="473"/>
      <c r="F201" s="473"/>
    </row>
    <row r="202" spans="2:6" x14ac:dyDescent="0.2">
      <c r="B202" s="473"/>
      <c r="C202" s="473"/>
      <c r="D202" s="473"/>
      <c r="E202" s="473"/>
      <c r="F202" s="473"/>
    </row>
    <row r="203" spans="2:6" x14ac:dyDescent="0.2">
      <c r="B203" s="473"/>
      <c r="C203" s="473"/>
      <c r="D203" s="473"/>
      <c r="E203" s="473"/>
      <c r="F203" s="473"/>
    </row>
    <row r="204" spans="2:6" x14ac:dyDescent="0.2">
      <c r="B204" s="473"/>
      <c r="C204" s="473"/>
      <c r="D204" s="473"/>
      <c r="E204" s="473"/>
      <c r="F204" s="473"/>
    </row>
    <row r="205" spans="2:6" x14ac:dyDescent="0.2">
      <c r="B205" s="473"/>
      <c r="C205" s="473"/>
      <c r="D205" s="473"/>
      <c r="E205" s="473"/>
      <c r="F205" s="473"/>
    </row>
    <row r="206" spans="2:6" x14ac:dyDescent="0.2">
      <c r="B206" s="473"/>
      <c r="C206" s="473"/>
      <c r="D206" s="473"/>
      <c r="E206" s="473"/>
      <c r="F206" s="473"/>
    </row>
    <row r="207" spans="2:6" x14ac:dyDescent="0.2">
      <c r="B207" s="473"/>
      <c r="C207" s="473"/>
      <c r="D207" s="473"/>
      <c r="E207" s="473"/>
      <c r="F207" s="473"/>
    </row>
    <row r="208" spans="2:6" x14ac:dyDescent="0.2">
      <c r="B208" s="473"/>
      <c r="C208" s="473"/>
      <c r="D208" s="473"/>
      <c r="E208" s="473"/>
      <c r="F208" s="473"/>
    </row>
    <row r="209" spans="2:6" x14ac:dyDescent="0.2">
      <c r="B209" s="473"/>
      <c r="C209" s="473"/>
      <c r="D209" s="473"/>
      <c r="E209" s="473"/>
      <c r="F209" s="473"/>
    </row>
    <row r="210" spans="2:6" x14ac:dyDescent="0.2">
      <c r="B210" s="473"/>
      <c r="C210" s="473"/>
      <c r="D210" s="473"/>
      <c r="E210" s="473"/>
      <c r="F210" s="473"/>
    </row>
    <row r="211" spans="2:6" x14ac:dyDescent="0.2">
      <c r="B211" s="473"/>
      <c r="C211" s="473"/>
      <c r="D211" s="473"/>
      <c r="E211" s="473"/>
      <c r="F211" s="473"/>
    </row>
    <row r="212" spans="2:6" x14ac:dyDescent="0.2">
      <c r="B212" s="473"/>
      <c r="C212" s="473"/>
      <c r="D212" s="473"/>
      <c r="E212" s="473"/>
      <c r="F212" s="473"/>
    </row>
    <row r="213" spans="2:6" x14ac:dyDescent="0.2">
      <c r="B213" s="473"/>
      <c r="C213" s="473"/>
      <c r="D213" s="473"/>
      <c r="E213" s="473"/>
      <c r="F213" s="473"/>
    </row>
    <row r="214" spans="2:6" x14ac:dyDescent="0.2">
      <c r="B214" s="473"/>
      <c r="C214" s="473"/>
      <c r="D214" s="473"/>
      <c r="E214" s="473"/>
      <c r="F214" s="473"/>
    </row>
    <row r="215" spans="2:6" x14ac:dyDescent="0.2">
      <c r="B215" s="473"/>
      <c r="C215" s="473"/>
      <c r="D215" s="473"/>
      <c r="E215" s="473"/>
      <c r="F215" s="473"/>
    </row>
    <row r="216" spans="2:6" x14ac:dyDescent="0.2">
      <c r="B216" s="473"/>
      <c r="C216" s="473"/>
      <c r="D216" s="473"/>
      <c r="E216" s="473"/>
      <c r="F216" s="473"/>
    </row>
    <row r="217" spans="2:6" x14ac:dyDescent="0.2">
      <c r="B217" s="473"/>
      <c r="C217" s="473"/>
      <c r="D217" s="473"/>
      <c r="E217" s="473"/>
      <c r="F217" s="473"/>
    </row>
    <row r="218" spans="2:6" x14ac:dyDescent="0.2">
      <c r="B218" s="473"/>
      <c r="C218" s="473"/>
      <c r="D218" s="473"/>
      <c r="E218" s="473"/>
      <c r="F218" s="473"/>
    </row>
    <row r="219" spans="2:6" x14ac:dyDescent="0.2">
      <c r="B219" s="473"/>
      <c r="C219" s="473"/>
      <c r="D219" s="473"/>
      <c r="E219" s="473"/>
      <c r="F219" s="473"/>
    </row>
    <row r="220" spans="2:6" x14ac:dyDescent="0.2">
      <c r="B220" s="473"/>
      <c r="C220" s="473"/>
      <c r="D220" s="473"/>
      <c r="E220" s="473"/>
      <c r="F220" s="473"/>
    </row>
    <row r="221" spans="2:6" x14ac:dyDescent="0.2">
      <c r="B221" s="473"/>
      <c r="C221" s="473"/>
      <c r="D221" s="473"/>
      <c r="E221" s="473"/>
      <c r="F221" s="473"/>
    </row>
    <row r="222" spans="2:6" x14ac:dyDescent="0.2">
      <c r="B222" s="473"/>
      <c r="C222" s="473"/>
      <c r="D222" s="473"/>
      <c r="E222" s="473"/>
      <c r="F222" s="473"/>
    </row>
    <row r="223" spans="2:6" x14ac:dyDescent="0.2">
      <c r="B223" s="473"/>
      <c r="C223" s="473"/>
      <c r="D223" s="473"/>
      <c r="E223" s="473"/>
      <c r="F223" s="473"/>
    </row>
    <row r="224" spans="2:6" x14ac:dyDescent="0.2">
      <c r="B224" s="473"/>
      <c r="C224" s="473"/>
      <c r="D224" s="473"/>
      <c r="E224" s="473"/>
      <c r="F224" s="473"/>
    </row>
    <row r="225" spans="2:6" x14ac:dyDescent="0.2">
      <c r="B225" s="473"/>
      <c r="C225" s="473"/>
      <c r="D225" s="473"/>
      <c r="E225" s="473"/>
      <c r="F225" s="473"/>
    </row>
    <row r="226" spans="2:6" x14ac:dyDescent="0.2">
      <c r="B226" s="473"/>
      <c r="C226" s="473"/>
      <c r="D226" s="473"/>
      <c r="E226" s="473"/>
      <c r="F226" s="473"/>
    </row>
    <row r="227" spans="2:6" x14ac:dyDescent="0.2">
      <c r="B227" s="473"/>
      <c r="C227" s="473"/>
      <c r="D227" s="473"/>
      <c r="E227" s="473"/>
      <c r="F227" s="473"/>
    </row>
    <row r="228" spans="2:6" x14ac:dyDescent="0.2">
      <c r="B228" s="473"/>
      <c r="C228" s="473"/>
      <c r="D228" s="473"/>
      <c r="E228" s="473"/>
      <c r="F228" s="473"/>
    </row>
    <row r="229" spans="2:6" x14ac:dyDescent="0.2">
      <c r="B229" s="473"/>
      <c r="C229" s="473"/>
      <c r="D229" s="473"/>
      <c r="E229" s="473"/>
      <c r="F229" s="473"/>
    </row>
    <row r="230" spans="2:6" x14ac:dyDescent="0.2">
      <c r="B230" s="473"/>
      <c r="C230" s="473"/>
      <c r="D230" s="473"/>
      <c r="E230" s="473"/>
      <c r="F230" s="473"/>
    </row>
    <row r="231" spans="2:6" x14ac:dyDescent="0.2">
      <c r="B231" s="473"/>
      <c r="C231" s="473"/>
      <c r="D231" s="473"/>
      <c r="E231" s="473"/>
      <c r="F231" s="473"/>
    </row>
    <row r="232" spans="2:6" x14ac:dyDescent="0.2">
      <c r="B232" s="473"/>
      <c r="C232" s="473"/>
      <c r="D232" s="473"/>
      <c r="E232" s="473"/>
      <c r="F232" s="473"/>
    </row>
    <row r="233" spans="2:6" x14ac:dyDescent="0.2">
      <c r="B233" s="473"/>
      <c r="C233" s="473"/>
      <c r="D233" s="473"/>
      <c r="E233" s="473"/>
      <c r="F233" s="473"/>
    </row>
    <row r="234" spans="2:6" x14ac:dyDescent="0.2">
      <c r="B234" s="473"/>
      <c r="C234" s="473"/>
      <c r="D234" s="473"/>
      <c r="E234" s="473"/>
      <c r="F234" s="473"/>
    </row>
    <row r="235" spans="2:6" x14ac:dyDescent="0.2">
      <c r="B235" s="473"/>
      <c r="C235" s="473"/>
      <c r="D235" s="473"/>
      <c r="E235" s="473"/>
      <c r="F235" s="473"/>
    </row>
    <row r="236" spans="2:6" x14ac:dyDescent="0.2">
      <c r="B236" s="473"/>
      <c r="C236" s="473"/>
      <c r="D236" s="473"/>
      <c r="E236" s="473"/>
      <c r="F236" s="473"/>
    </row>
    <row r="237" spans="2:6" x14ac:dyDescent="0.2">
      <c r="B237" s="473"/>
      <c r="C237" s="473"/>
      <c r="D237" s="473"/>
      <c r="E237" s="473"/>
      <c r="F237" s="473"/>
    </row>
    <row r="238" spans="2:6" x14ac:dyDescent="0.2">
      <c r="B238" s="473"/>
      <c r="C238" s="473"/>
      <c r="D238" s="473"/>
      <c r="E238" s="473"/>
      <c r="F238" s="473"/>
    </row>
    <row r="239" spans="2:6" x14ac:dyDescent="0.2">
      <c r="B239" s="473"/>
      <c r="C239" s="473"/>
      <c r="D239" s="473"/>
      <c r="E239" s="473"/>
      <c r="F239" s="473"/>
    </row>
    <row r="240" spans="2:6" x14ac:dyDescent="0.2">
      <c r="B240" s="473"/>
      <c r="C240" s="473"/>
      <c r="D240" s="473"/>
      <c r="E240" s="473"/>
      <c r="F240" s="473"/>
    </row>
    <row r="241" spans="2:6" x14ac:dyDescent="0.2">
      <c r="B241" s="473"/>
      <c r="C241" s="473"/>
      <c r="D241" s="473"/>
      <c r="E241" s="473"/>
      <c r="F241" s="473"/>
    </row>
    <row r="242" spans="2:6" x14ac:dyDescent="0.2">
      <c r="B242" s="473"/>
      <c r="C242" s="473"/>
      <c r="D242" s="473"/>
      <c r="E242" s="473"/>
      <c r="F242" s="473"/>
    </row>
    <row r="243" spans="2:6" x14ac:dyDescent="0.2">
      <c r="B243" s="473"/>
      <c r="C243" s="473"/>
      <c r="D243" s="473"/>
      <c r="E243" s="473"/>
      <c r="F243" s="473"/>
    </row>
    <row r="244" spans="2:6" x14ac:dyDescent="0.2">
      <c r="B244" s="473"/>
      <c r="C244" s="473"/>
      <c r="D244" s="473"/>
      <c r="E244" s="473"/>
      <c r="F244" s="473"/>
    </row>
    <row r="245" spans="2:6" x14ac:dyDescent="0.2">
      <c r="B245" s="473"/>
      <c r="C245" s="473"/>
      <c r="D245" s="473"/>
      <c r="E245" s="473"/>
      <c r="F245" s="473"/>
    </row>
    <row r="246" spans="2:6" x14ac:dyDescent="0.2">
      <c r="B246" s="473"/>
      <c r="C246" s="473"/>
      <c r="D246" s="473"/>
      <c r="E246" s="473"/>
      <c r="F246" s="473"/>
    </row>
    <row r="247" spans="2:6" x14ac:dyDescent="0.2">
      <c r="B247" s="473"/>
      <c r="C247" s="473"/>
      <c r="D247" s="473"/>
      <c r="E247" s="473"/>
      <c r="F247" s="473"/>
    </row>
    <row r="248" spans="2:6" x14ac:dyDescent="0.2">
      <c r="B248" s="473"/>
      <c r="C248" s="473"/>
      <c r="D248" s="473"/>
      <c r="E248" s="473"/>
      <c r="F248" s="473"/>
    </row>
    <row r="249" spans="2:6" x14ac:dyDescent="0.2">
      <c r="B249" s="473"/>
      <c r="C249" s="473"/>
      <c r="D249" s="473"/>
      <c r="E249" s="473"/>
      <c r="F249" s="473"/>
    </row>
    <row r="250" spans="2:6" x14ac:dyDescent="0.2">
      <c r="B250" s="473"/>
      <c r="C250" s="473"/>
      <c r="D250" s="473"/>
      <c r="E250" s="473"/>
      <c r="F250" s="473"/>
    </row>
    <row r="251" spans="2:6" x14ac:dyDescent="0.2">
      <c r="B251" s="473"/>
      <c r="C251" s="473"/>
      <c r="D251" s="473"/>
      <c r="E251" s="473"/>
      <c r="F251" s="473"/>
    </row>
    <row r="252" spans="2:6" x14ac:dyDescent="0.2">
      <c r="B252" s="473"/>
      <c r="C252" s="473"/>
      <c r="D252" s="473"/>
      <c r="E252" s="473"/>
      <c r="F252" s="473"/>
    </row>
    <row r="253" spans="2:6" x14ac:dyDescent="0.2">
      <c r="B253" s="473"/>
      <c r="C253" s="473"/>
      <c r="D253" s="473"/>
      <c r="E253" s="473"/>
      <c r="F253" s="473"/>
    </row>
    <row r="254" spans="2:6" x14ac:dyDescent="0.2">
      <c r="B254" s="473"/>
      <c r="C254" s="473"/>
      <c r="D254" s="473"/>
      <c r="E254" s="473"/>
      <c r="F254" s="473"/>
    </row>
    <row r="255" spans="2:6" x14ac:dyDescent="0.2">
      <c r="B255" s="473"/>
      <c r="C255" s="473"/>
      <c r="D255" s="473"/>
      <c r="E255" s="473"/>
      <c r="F255" s="473"/>
    </row>
    <row r="256" spans="2:6" x14ac:dyDescent="0.2">
      <c r="B256" s="473"/>
      <c r="C256" s="473"/>
      <c r="D256" s="473"/>
      <c r="E256" s="473"/>
      <c r="F256" s="473"/>
    </row>
    <row r="257" spans="2:6" x14ac:dyDescent="0.2">
      <c r="B257" s="473"/>
      <c r="C257" s="473"/>
      <c r="D257" s="473"/>
      <c r="E257" s="473"/>
      <c r="F257" s="473"/>
    </row>
    <row r="258" spans="2:6" x14ac:dyDescent="0.2">
      <c r="B258" s="473"/>
      <c r="C258" s="473"/>
      <c r="D258" s="473"/>
      <c r="E258" s="473"/>
      <c r="F258" s="473"/>
    </row>
    <row r="259" spans="2:6" x14ac:dyDescent="0.2">
      <c r="B259" s="473"/>
      <c r="C259" s="473"/>
      <c r="D259" s="473"/>
      <c r="E259" s="473"/>
      <c r="F259" s="473"/>
    </row>
    <row r="260" spans="2:6" x14ac:dyDescent="0.2">
      <c r="B260" s="473"/>
      <c r="C260" s="473"/>
      <c r="D260" s="473"/>
      <c r="E260" s="473"/>
      <c r="F260" s="473"/>
    </row>
    <row r="261" spans="2:6" x14ac:dyDescent="0.2">
      <c r="B261" s="473"/>
      <c r="C261" s="473"/>
      <c r="D261" s="473"/>
      <c r="E261" s="473"/>
      <c r="F261" s="473"/>
    </row>
    <row r="262" spans="2:6" x14ac:dyDescent="0.2">
      <c r="B262" s="473"/>
      <c r="C262" s="473"/>
      <c r="D262" s="473"/>
      <c r="E262" s="473"/>
      <c r="F262" s="473"/>
    </row>
    <row r="263" spans="2:6" x14ac:dyDescent="0.2">
      <c r="B263" s="473"/>
      <c r="C263" s="473"/>
      <c r="D263" s="473"/>
      <c r="E263" s="473"/>
      <c r="F263" s="473"/>
    </row>
    <row r="264" spans="2:6" x14ac:dyDescent="0.2">
      <c r="B264" s="473"/>
      <c r="C264" s="473"/>
      <c r="D264" s="473"/>
      <c r="E264" s="473"/>
      <c r="F264" s="473"/>
    </row>
    <row r="265" spans="2:6" x14ac:dyDescent="0.2">
      <c r="B265" s="473"/>
      <c r="C265" s="473"/>
      <c r="D265" s="473"/>
      <c r="E265" s="473"/>
      <c r="F265" s="473"/>
    </row>
    <row r="266" spans="2:6" x14ac:dyDescent="0.2">
      <c r="B266" s="473"/>
      <c r="C266" s="473"/>
      <c r="D266" s="473"/>
      <c r="E266" s="473"/>
      <c r="F266" s="473"/>
    </row>
    <row r="267" spans="2:6" x14ac:dyDescent="0.2">
      <c r="B267" s="473"/>
      <c r="C267" s="473"/>
      <c r="D267" s="473"/>
      <c r="E267" s="473"/>
      <c r="F267" s="473"/>
    </row>
    <row r="268" spans="2:6" x14ac:dyDescent="0.2">
      <c r="B268" s="473"/>
      <c r="C268" s="473"/>
      <c r="D268" s="473"/>
      <c r="E268" s="473"/>
      <c r="F268" s="473"/>
    </row>
    <row r="269" spans="2:6" x14ac:dyDescent="0.2">
      <c r="B269" s="473"/>
      <c r="C269" s="473"/>
      <c r="D269" s="473"/>
      <c r="E269" s="473"/>
      <c r="F269" s="473"/>
    </row>
    <row r="270" spans="2:6" x14ac:dyDescent="0.2">
      <c r="B270" s="473"/>
      <c r="C270" s="473"/>
      <c r="D270" s="473"/>
      <c r="E270" s="473"/>
      <c r="F270" s="473"/>
    </row>
    <row r="271" spans="2:6" x14ac:dyDescent="0.2">
      <c r="B271" s="473"/>
      <c r="C271" s="473"/>
      <c r="D271" s="473"/>
      <c r="E271" s="473"/>
      <c r="F271" s="473"/>
    </row>
    <row r="272" spans="2:6" x14ac:dyDescent="0.2">
      <c r="B272" s="473"/>
      <c r="C272" s="473"/>
      <c r="D272" s="473"/>
      <c r="E272" s="473"/>
      <c r="F272" s="473"/>
    </row>
    <row r="273" spans="2:6" x14ac:dyDescent="0.2">
      <c r="B273" s="473"/>
      <c r="C273" s="473"/>
      <c r="D273" s="473"/>
      <c r="E273" s="473"/>
      <c r="F273" s="473"/>
    </row>
    <row r="274" spans="2:6" x14ac:dyDescent="0.2">
      <c r="B274" s="473"/>
      <c r="C274" s="473"/>
      <c r="D274" s="473"/>
      <c r="E274" s="473"/>
      <c r="F274" s="473"/>
    </row>
    <row r="275" spans="2:6" x14ac:dyDescent="0.2">
      <c r="B275" s="473"/>
      <c r="C275" s="473"/>
      <c r="D275" s="473"/>
      <c r="E275" s="473"/>
      <c r="F275" s="473"/>
    </row>
    <row r="276" spans="2:6" x14ac:dyDescent="0.2">
      <c r="B276" s="473"/>
      <c r="C276" s="473"/>
      <c r="D276" s="473"/>
      <c r="E276" s="473"/>
      <c r="F276" s="473"/>
    </row>
    <row r="277" spans="2:6" x14ac:dyDescent="0.2">
      <c r="B277" s="473"/>
      <c r="C277" s="473"/>
      <c r="D277" s="473"/>
      <c r="E277" s="473"/>
      <c r="F277" s="473"/>
    </row>
    <row r="278" spans="2:6" x14ac:dyDescent="0.2">
      <c r="B278" s="473"/>
      <c r="C278" s="473"/>
      <c r="D278" s="473"/>
      <c r="E278" s="473"/>
      <c r="F278" s="473"/>
    </row>
    <row r="279" spans="2:6" x14ac:dyDescent="0.2">
      <c r="B279" s="473"/>
      <c r="C279" s="473"/>
      <c r="D279" s="473"/>
      <c r="E279" s="473"/>
      <c r="F279" s="473"/>
    </row>
    <row r="280" spans="2:6" x14ac:dyDescent="0.2">
      <c r="B280" s="473"/>
      <c r="C280" s="473"/>
      <c r="D280" s="473"/>
      <c r="E280" s="473"/>
      <c r="F280" s="473"/>
    </row>
    <row r="281" spans="2:6" x14ac:dyDescent="0.2">
      <c r="B281" s="473"/>
      <c r="C281" s="473"/>
      <c r="D281" s="473"/>
      <c r="E281" s="473"/>
      <c r="F281" s="473"/>
    </row>
    <row r="282" spans="2:6" x14ac:dyDescent="0.2">
      <c r="B282" s="473"/>
      <c r="C282" s="473"/>
      <c r="D282" s="473"/>
      <c r="E282" s="473"/>
      <c r="F282" s="473"/>
    </row>
    <row r="283" spans="2:6" x14ac:dyDescent="0.2">
      <c r="B283" s="473"/>
      <c r="C283" s="473"/>
      <c r="D283" s="473"/>
      <c r="E283" s="473"/>
      <c r="F283" s="473"/>
    </row>
    <row r="284" spans="2:6" x14ac:dyDescent="0.2">
      <c r="B284" s="473"/>
      <c r="C284" s="473"/>
      <c r="D284" s="473"/>
      <c r="E284" s="473"/>
      <c r="F284" s="473"/>
    </row>
    <row r="285" spans="2:6" x14ac:dyDescent="0.2">
      <c r="B285" s="473"/>
      <c r="C285" s="473"/>
      <c r="D285" s="473"/>
      <c r="E285" s="473"/>
      <c r="F285" s="473"/>
    </row>
    <row r="286" spans="2:6" x14ac:dyDescent="0.2">
      <c r="B286" s="473"/>
      <c r="C286" s="473"/>
      <c r="D286" s="473"/>
      <c r="E286" s="473"/>
      <c r="F286" s="473"/>
    </row>
    <row r="287" spans="2:6" x14ac:dyDescent="0.2">
      <c r="B287" s="473"/>
      <c r="C287" s="473"/>
      <c r="D287" s="473"/>
      <c r="E287" s="473"/>
      <c r="F287" s="473"/>
    </row>
    <row r="288" spans="2:6" x14ac:dyDescent="0.2">
      <c r="B288" s="473"/>
      <c r="C288" s="473"/>
      <c r="D288" s="473"/>
      <c r="E288" s="473"/>
      <c r="F288" s="473"/>
    </row>
    <row r="289" spans="2:6" x14ac:dyDescent="0.2">
      <c r="B289" s="473"/>
      <c r="C289" s="473"/>
      <c r="D289" s="473"/>
      <c r="E289" s="473"/>
      <c r="F289" s="473"/>
    </row>
    <row r="290" spans="2:6" x14ac:dyDescent="0.2">
      <c r="B290" s="473"/>
      <c r="C290" s="473"/>
      <c r="D290" s="473"/>
      <c r="E290" s="473"/>
      <c r="F290" s="473"/>
    </row>
    <row r="291" spans="2:6" x14ac:dyDescent="0.2">
      <c r="B291" s="473"/>
      <c r="C291" s="473"/>
      <c r="D291" s="473"/>
      <c r="E291" s="473"/>
      <c r="F291" s="473"/>
    </row>
    <row r="292" spans="2:6" x14ac:dyDescent="0.2">
      <c r="B292" s="473"/>
      <c r="C292" s="473"/>
      <c r="D292" s="473"/>
      <c r="E292" s="473"/>
      <c r="F292" s="473"/>
    </row>
    <row r="293" spans="2:6" x14ac:dyDescent="0.2">
      <c r="B293" s="473"/>
      <c r="C293" s="473"/>
      <c r="D293" s="473"/>
      <c r="E293" s="473"/>
      <c r="F293" s="473"/>
    </row>
    <row r="294" spans="2:6" x14ac:dyDescent="0.2">
      <c r="B294" s="473"/>
      <c r="C294" s="473"/>
      <c r="D294" s="473"/>
      <c r="E294" s="473"/>
      <c r="F294" s="473"/>
    </row>
    <row r="295" spans="2:6" x14ac:dyDescent="0.2">
      <c r="B295" s="473"/>
      <c r="C295" s="473"/>
      <c r="D295" s="473"/>
      <c r="E295" s="473"/>
      <c r="F295" s="473"/>
    </row>
    <row r="296" spans="2:6" x14ac:dyDescent="0.2">
      <c r="B296" s="473"/>
      <c r="C296" s="473"/>
      <c r="D296" s="473"/>
      <c r="E296" s="473"/>
      <c r="F296" s="473"/>
    </row>
    <row r="297" spans="2:6" x14ac:dyDescent="0.2">
      <c r="B297" s="473"/>
      <c r="C297" s="473"/>
      <c r="D297" s="473"/>
      <c r="E297" s="473"/>
      <c r="F297" s="473"/>
    </row>
    <row r="298" spans="2:6" x14ac:dyDescent="0.2">
      <c r="B298" s="473"/>
      <c r="C298" s="473"/>
      <c r="D298" s="473"/>
      <c r="E298" s="473"/>
      <c r="F298" s="473"/>
    </row>
    <row r="299" spans="2:6" x14ac:dyDescent="0.2">
      <c r="B299" s="473"/>
      <c r="C299" s="473"/>
      <c r="D299" s="473"/>
      <c r="E299" s="473"/>
      <c r="F299" s="473"/>
    </row>
    <row r="300" spans="2:6" x14ac:dyDescent="0.2">
      <c r="B300" s="473"/>
      <c r="C300" s="473"/>
      <c r="D300" s="473"/>
      <c r="E300" s="473"/>
      <c r="F300" s="473"/>
    </row>
    <row r="301" spans="2:6" x14ac:dyDescent="0.2">
      <c r="B301" s="473"/>
      <c r="C301" s="473"/>
      <c r="D301" s="473"/>
      <c r="E301" s="473"/>
      <c r="F301" s="473"/>
    </row>
    <row r="302" spans="2:6" x14ac:dyDescent="0.2">
      <c r="B302" s="473"/>
      <c r="C302" s="473"/>
      <c r="D302" s="473"/>
      <c r="E302" s="473"/>
      <c r="F302" s="473"/>
    </row>
    <row r="303" spans="2:6" x14ac:dyDescent="0.2">
      <c r="B303" s="473"/>
      <c r="C303" s="473"/>
      <c r="D303" s="473"/>
      <c r="E303" s="473"/>
      <c r="F303" s="473"/>
    </row>
    <row r="304" spans="2:6" x14ac:dyDescent="0.2">
      <c r="B304" s="473"/>
      <c r="C304" s="473"/>
      <c r="D304" s="473"/>
      <c r="E304" s="473"/>
      <c r="F304" s="473"/>
    </row>
    <row r="305" spans="2:6" x14ac:dyDescent="0.2">
      <c r="B305" s="473"/>
      <c r="C305" s="473"/>
      <c r="D305" s="473"/>
      <c r="E305" s="473"/>
      <c r="F305" s="473"/>
    </row>
    <row r="306" spans="2:6" x14ac:dyDescent="0.2">
      <c r="B306" s="473"/>
      <c r="C306" s="473"/>
      <c r="D306" s="473"/>
      <c r="E306" s="473"/>
      <c r="F306" s="473"/>
    </row>
    <row r="307" spans="2:6" x14ac:dyDescent="0.2">
      <c r="B307" s="473"/>
      <c r="C307" s="473"/>
      <c r="D307" s="473"/>
      <c r="E307" s="473"/>
      <c r="F307" s="473"/>
    </row>
    <row r="308" spans="2:6" x14ac:dyDescent="0.2">
      <c r="B308" s="473"/>
      <c r="C308" s="473"/>
      <c r="D308" s="473"/>
      <c r="E308" s="473"/>
      <c r="F308" s="473"/>
    </row>
    <row r="309" spans="2:6" x14ac:dyDescent="0.2">
      <c r="B309" s="473"/>
      <c r="C309" s="473"/>
      <c r="D309" s="473"/>
      <c r="E309" s="473"/>
      <c r="F309" s="473"/>
    </row>
    <row r="310" spans="2:6" x14ac:dyDescent="0.2">
      <c r="B310" s="473"/>
      <c r="C310" s="473"/>
      <c r="D310" s="473"/>
      <c r="E310" s="473"/>
      <c r="F310" s="473"/>
    </row>
    <row r="311" spans="2:6" x14ac:dyDescent="0.2">
      <c r="B311" s="473"/>
      <c r="C311" s="473"/>
      <c r="D311" s="473"/>
      <c r="E311" s="473"/>
      <c r="F311" s="473"/>
    </row>
    <row r="312" spans="2:6" x14ac:dyDescent="0.2">
      <c r="B312" s="473"/>
      <c r="C312" s="473"/>
      <c r="D312" s="473"/>
      <c r="E312" s="473"/>
      <c r="F312" s="473"/>
    </row>
    <row r="313" spans="2:6" x14ac:dyDescent="0.2">
      <c r="B313" s="473"/>
      <c r="C313" s="473"/>
      <c r="D313" s="473"/>
      <c r="E313" s="473"/>
      <c r="F313" s="473"/>
    </row>
    <row r="314" spans="2:6" x14ac:dyDescent="0.2">
      <c r="B314" s="473"/>
      <c r="C314" s="473"/>
      <c r="D314" s="473"/>
      <c r="E314" s="473"/>
      <c r="F314" s="473"/>
    </row>
    <row r="315" spans="2:6" x14ac:dyDescent="0.2">
      <c r="B315" s="473"/>
      <c r="C315" s="473"/>
      <c r="D315" s="473"/>
      <c r="E315" s="473"/>
      <c r="F315" s="473"/>
    </row>
    <row r="316" spans="2:6" x14ac:dyDescent="0.2">
      <c r="B316" s="473"/>
      <c r="C316" s="473"/>
      <c r="D316" s="473"/>
      <c r="E316" s="473"/>
      <c r="F316" s="473"/>
    </row>
    <row r="317" spans="2:6" x14ac:dyDescent="0.2">
      <c r="B317" s="473"/>
      <c r="C317" s="473"/>
      <c r="D317" s="473"/>
      <c r="E317" s="473"/>
      <c r="F317" s="473"/>
    </row>
    <row r="318" spans="2:6" x14ac:dyDescent="0.2">
      <c r="B318" s="473"/>
      <c r="C318" s="473"/>
      <c r="D318" s="473"/>
      <c r="E318" s="473"/>
      <c r="F318" s="473"/>
    </row>
    <row r="319" spans="2:6" x14ac:dyDescent="0.2">
      <c r="B319" s="473"/>
      <c r="C319" s="473"/>
      <c r="D319" s="473"/>
      <c r="E319" s="473"/>
      <c r="F319" s="473"/>
    </row>
    <row r="320" spans="2:6" x14ac:dyDescent="0.2">
      <c r="B320" s="473"/>
      <c r="C320" s="473"/>
      <c r="D320" s="473"/>
      <c r="E320" s="473"/>
      <c r="F320" s="473"/>
    </row>
    <row r="321" spans="2:6" x14ac:dyDescent="0.2">
      <c r="B321" s="473"/>
      <c r="C321" s="473"/>
      <c r="D321" s="473"/>
      <c r="E321" s="473"/>
      <c r="F321" s="473"/>
    </row>
    <row r="322" spans="2:6" x14ac:dyDescent="0.2">
      <c r="B322" s="473"/>
      <c r="C322" s="473"/>
      <c r="D322" s="473"/>
      <c r="E322" s="473"/>
      <c r="F322" s="473"/>
    </row>
    <row r="323" spans="2:6" x14ac:dyDescent="0.2">
      <c r="B323" s="473"/>
      <c r="C323" s="473"/>
      <c r="D323" s="473"/>
      <c r="E323" s="473"/>
      <c r="F323" s="473"/>
    </row>
    <row r="324" spans="2:6" x14ac:dyDescent="0.2">
      <c r="B324" s="473"/>
      <c r="C324" s="473"/>
      <c r="D324" s="473"/>
      <c r="E324" s="473"/>
      <c r="F324" s="473"/>
    </row>
    <row r="325" spans="2:6" x14ac:dyDescent="0.2">
      <c r="B325" s="473"/>
      <c r="C325" s="473"/>
      <c r="D325" s="473"/>
      <c r="E325" s="473"/>
      <c r="F325" s="473"/>
    </row>
    <row r="326" spans="2:6" x14ac:dyDescent="0.2">
      <c r="B326" s="473"/>
      <c r="C326" s="473"/>
      <c r="D326" s="473"/>
      <c r="E326" s="473"/>
      <c r="F326" s="473"/>
    </row>
    <row r="327" spans="2:6" x14ac:dyDescent="0.2">
      <c r="B327" s="473"/>
      <c r="C327" s="473"/>
      <c r="D327" s="473"/>
      <c r="E327" s="473"/>
      <c r="F327" s="473"/>
    </row>
    <row r="328" spans="2:6" x14ac:dyDescent="0.2">
      <c r="B328" s="473"/>
      <c r="C328" s="473"/>
      <c r="D328" s="473"/>
      <c r="E328" s="473"/>
      <c r="F328" s="473"/>
    </row>
    <row r="329" spans="2:6" x14ac:dyDescent="0.2">
      <c r="B329" s="473"/>
      <c r="C329" s="473"/>
      <c r="D329" s="473"/>
      <c r="E329" s="473"/>
      <c r="F329" s="473"/>
    </row>
    <row r="330" spans="2:6" x14ac:dyDescent="0.2">
      <c r="B330" s="473"/>
      <c r="C330" s="473"/>
      <c r="D330" s="473"/>
      <c r="E330" s="473"/>
      <c r="F330" s="473"/>
    </row>
    <row r="331" spans="2:6" x14ac:dyDescent="0.2">
      <c r="B331" s="473"/>
      <c r="C331" s="473"/>
      <c r="D331" s="473"/>
      <c r="E331" s="473"/>
      <c r="F331" s="473"/>
    </row>
    <row r="332" spans="2:6" x14ac:dyDescent="0.2">
      <c r="B332" s="473"/>
      <c r="C332" s="473"/>
      <c r="D332" s="473"/>
      <c r="E332" s="473"/>
      <c r="F332" s="473"/>
    </row>
    <row r="333" spans="2:6" x14ac:dyDescent="0.2">
      <c r="B333" s="473"/>
      <c r="C333" s="473"/>
      <c r="D333" s="473"/>
      <c r="E333" s="473"/>
      <c r="F333" s="473"/>
    </row>
    <row r="334" spans="2:6" x14ac:dyDescent="0.2">
      <c r="B334" s="473"/>
      <c r="C334" s="473"/>
      <c r="D334" s="473"/>
      <c r="E334" s="473"/>
      <c r="F334" s="473"/>
    </row>
    <row r="335" spans="2:6" x14ac:dyDescent="0.2">
      <c r="B335" s="473"/>
      <c r="C335" s="473"/>
      <c r="D335" s="473"/>
      <c r="E335" s="473"/>
      <c r="F335" s="473"/>
    </row>
    <row r="336" spans="2:6" x14ac:dyDescent="0.2">
      <c r="B336" s="473"/>
      <c r="C336" s="473"/>
      <c r="D336" s="473"/>
      <c r="E336" s="473"/>
      <c r="F336" s="473"/>
    </row>
    <row r="337" spans="2:6" x14ac:dyDescent="0.2">
      <c r="B337" s="473"/>
      <c r="C337" s="473"/>
      <c r="D337" s="473"/>
      <c r="E337" s="473"/>
      <c r="F337" s="473"/>
    </row>
    <row r="338" spans="2:6" x14ac:dyDescent="0.2">
      <c r="B338" s="473"/>
      <c r="C338" s="473"/>
      <c r="D338" s="473"/>
      <c r="E338" s="473"/>
      <c r="F338" s="473"/>
    </row>
    <row r="339" spans="2:6" x14ac:dyDescent="0.2">
      <c r="B339" s="473"/>
      <c r="C339" s="473"/>
      <c r="D339" s="473"/>
      <c r="E339" s="473"/>
      <c r="F339" s="473"/>
    </row>
    <row r="340" spans="2:6" x14ac:dyDescent="0.2">
      <c r="B340" s="473"/>
      <c r="C340" s="473"/>
      <c r="D340" s="473"/>
      <c r="E340" s="473"/>
      <c r="F340" s="473"/>
    </row>
    <row r="341" spans="2:6" x14ac:dyDescent="0.2">
      <c r="B341" s="473"/>
      <c r="C341" s="473"/>
      <c r="D341" s="473"/>
      <c r="E341" s="473"/>
      <c r="F341" s="473"/>
    </row>
    <row r="342" spans="2:6" x14ac:dyDescent="0.2">
      <c r="B342" s="473"/>
      <c r="C342" s="473"/>
      <c r="D342" s="473"/>
      <c r="E342" s="473"/>
      <c r="F342" s="473"/>
    </row>
    <row r="343" spans="2:6" x14ac:dyDescent="0.2">
      <c r="B343" s="473"/>
      <c r="C343" s="473"/>
      <c r="D343" s="473"/>
      <c r="E343" s="473"/>
      <c r="F343" s="473"/>
    </row>
    <row r="344" spans="2:6" x14ac:dyDescent="0.2">
      <c r="B344" s="473"/>
      <c r="C344" s="473"/>
      <c r="D344" s="473"/>
      <c r="E344" s="473"/>
      <c r="F344" s="473"/>
    </row>
    <row r="345" spans="2:6" x14ac:dyDescent="0.2">
      <c r="B345" s="473"/>
      <c r="C345" s="473"/>
      <c r="D345" s="473"/>
      <c r="E345" s="473"/>
      <c r="F345" s="473"/>
    </row>
    <row r="346" spans="2:6" x14ac:dyDescent="0.2">
      <c r="B346" s="473"/>
      <c r="C346" s="473"/>
      <c r="D346" s="473"/>
      <c r="E346" s="473"/>
      <c r="F346" s="473"/>
    </row>
    <row r="347" spans="2:6" x14ac:dyDescent="0.2">
      <c r="B347" s="473"/>
      <c r="C347" s="473"/>
      <c r="D347" s="473"/>
      <c r="E347" s="473"/>
      <c r="F347" s="473"/>
    </row>
    <row r="348" spans="2:6" x14ac:dyDescent="0.2">
      <c r="B348" s="473"/>
      <c r="C348" s="473"/>
      <c r="D348" s="473"/>
      <c r="E348" s="473"/>
      <c r="F348" s="473"/>
    </row>
    <row r="349" spans="2:6" x14ac:dyDescent="0.2">
      <c r="B349" s="473"/>
      <c r="C349" s="473"/>
      <c r="D349" s="473"/>
      <c r="E349" s="473"/>
      <c r="F349" s="473"/>
    </row>
    <row r="350" spans="2:6" x14ac:dyDescent="0.2">
      <c r="B350" s="473"/>
      <c r="C350" s="473"/>
      <c r="D350" s="473"/>
      <c r="E350" s="473"/>
      <c r="F350" s="473"/>
    </row>
    <row r="351" spans="2:6" x14ac:dyDescent="0.2">
      <c r="B351" s="473"/>
      <c r="C351" s="473"/>
      <c r="D351" s="473"/>
      <c r="E351" s="473"/>
      <c r="F351" s="473"/>
    </row>
    <row r="352" spans="2:6" x14ac:dyDescent="0.2">
      <c r="B352" s="473"/>
      <c r="C352" s="473"/>
      <c r="D352" s="473"/>
      <c r="E352" s="473"/>
      <c r="F352" s="473"/>
    </row>
    <row r="353" spans="2:6" x14ac:dyDescent="0.2">
      <c r="B353" s="473"/>
      <c r="C353" s="473"/>
      <c r="D353" s="473"/>
      <c r="E353" s="473"/>
      <c r="F353" s="473"/>
    </row>
    <row r="354" spans="2:6" x14ac:dyDescent="0.2">
      <c r="B354" s="473"/>
      <c r="C354" s="473"/>
      <c r="D354" s="473"/>
      <c r="E354" s="473"/>
      <c r="F354" s="473"/>
    </row>
    <row r="355" spans="2:6" x14ac:dyDescent="0.2">
      <c r="B355" s="473"/>
      <c r="C355" s="473"/>
      <c r="D355" s="473"/>
      <c r="E355" s="473"/>
      <c r="F355" s="473"/>
    </row>
    <row r="356" spans="2:6" x14ac:dyDescent="0.2">
      <c r="B356" s="473"/>
      <c r="C356" s="473"/>
      <c r="D356" s="473"/>
      <c r="E356" s="473"/>
      <c r="F356" s="473"/>
    </row>
    <row r="357" spans="2:6" x14ac:dyDescent="0.2">
      <c r="B357" s="473"/>
      <c r="C357" s="473"/>
      <c r="D357" s="473"/>
      <c r="E357" s="473"/>
      <c r="F357" s="473"/>
    </row>
    <row r="358" spans="2:6" x14ac:dyDescent="0.2">
      <c r="B358" s="473"/>
      <c r="C358" s="473"/>
      <c r="D358" s="473"/>
      <c r="E358" s="473"/>
      <c r="F358" s="473"/>
    </row>
    <row r="359" spans="2:6" x14ac:dyDescent="0.2">
      <c r="B359" s="473"/>
      <c r="C359" s="473"/>
      <c r="D359" s="473"/>
      <c r="E359" s="473"/>
      <c r="F359" s="473"/>
    </row>
    <row r="360" spans="2:6" x14ac:dyDescent="0.2">
      <c r="B360" s="473"/>
      <c r="C360" s="473"/>
      <c r="D360" s="473"/>
      <c r="E360" s="473"/>
      <c r="F360" s="473"/>
    </row>
    <row r="361" spans="2:6" x14ac:dyDescent="0.2">
      <c r="B361" s="473"/>
      <c r="C361" s="473"/>
      <c r="D361" s="473"/>
      <c r="E361" s="473"/>
      <c r="F361" s="473"/>
    </row>
    <row r="362" spans="2:6" x14ac:dyDescent="0.2">
      <c r="B362" s="473"/>
      <c r="C362" s="473"/>
      <c r="D362" s="473"/>
      <c r="E362" s="473"/>
      <c r="F362" s="473"/>
    </row>
    <row r="363" spans="2:6" x14ac:dyDescent="0.2">
      <c r="B363" s="473"/>
      <c r="C363" s="473"/>
      <c r="D363" s="473"/>
      <c r="E363" s="473"/>
      <c r="F363" s="473"/>
    </row>
    <row r="364" spans="2:6" x14ac:dyDescent="0.2">
      <c r="B364" s="473"/>
      <c r="C364" s="473"/>
      <c r="D364" s="473"/>
      <c r="E364" s="473"/>
      <c r="F364" s="473"/>
    </row>
    <row r="365" spans="2:6" x14ac:dyDescent="0.2">
      <c r="B365" s="473"/>
      <c r="C365" s="473"/>
      <c r="D365" s="473"/>
      <c r="E365" s="473"/>
      <c r="F365" s="473"/>
    </row>
    <row r="366" spans="2:6" x14ac:dyDescent="0.2">
      <c r="B366" s="473"/>
      <c r="C366" s="473"/>
      <c r="D366" s="473"/>
      <c r="E366" s="473"/>
      <c r="F366" s="473"/>
    </row>
    <row r="367" spans="2:6" x14ac:dyDescent="0.2">
      <c r="B367" s="473"/>
      <c r="C367" s="473"/>
      <c r="D367" s="473"/>
      <c r="E367" s="473"/>
      <c r="F367" s="473"/>
    </row>
    <row r="368" spans="2:6" x14ac:dyDescent="0.2">
      <c r="B368" s="473"/>
      <c r="C368" s="473"/>
      <c r="D368" s="473"/>
      <c r="E368" s="473"/>
      <c r="F368" s="473"/>
    </row>
    <row r="369" spans="2:6" x14ac:dyDescent="0.2">
      <c r="B369" s="473"/>
      <c r="C369" s="473"/>
      <c r="D369" s="473"/>
      <c r="E369" s="473"/>
      <c r="F369" s="473"/>
    </row>
    <row r="370" spans="2:6" x14ac:dyDescent="0.2">
      <c r="B370" s="473"/>
      <c r="C370" s="473"/>
      <c r="D370" s="473"/>
      <c r="E370" s="473"/>
      <c r="F370" s="473"/>
    </row>
    <row r="371" spans="2:6" x14ac:dyDescent="0.2">
      <c r="B371" s="473"/>
      <c r="C371" s="473"/>
      <c r="D371" s="473"/>
      <c r="E371" s="473"/>
      <c r="F371" s="473"/>
    </row>
    <row r="372" spans="2:6" x14ac:dyDescent="0.2">
      <c r="B372" s="473"/>
      <c r="C372" s="473"/>
      <c r="D372" s="473"/>
      <c r="E372" s="473"/>
      <c r="F372" s="473"/>
    </row>
    <row r="373" spans="2:6" x14ac:dyDescent="0.2">
      <c r="B373" s="473"/>
      <c r="C373" s="473"/>
      <c r="D373" s="473"/>
      <c r="E373" s="473"/>
      <c r="F373" s="473"/>
    </row>
    <row r="374" spans="2:6" x14ac:dyDescent="0.2">
      <c r="B374" s="473"/>
      <c r="C374" s="473"/>
      <c r="D374" s="473"/>
      <c r="E374" s="473"/>
      <c r="F374" s="473"/>
    </row>
    <row r="375" spans="2:6" x14ac:dyDescent="0.2">
      <c r="B375" s="473"/>
      <c r="C375" s="473"/>
      <c r="D375" s="473"/>
      <c r="E375" s="473"/>
      <c r="F375" s="473"/>
    </row>
    <row r="376" spans="2:6" x14ac:dyDescent="0.2">
      <c r="B376" s="473"/>
      <c r="C376" s="473"/>
      <c r="D376" s="473"/>
      <c r="E376" s="473"/>
      <c r="F376" s="473"/>
    </row>
    <row r="377" spans="2:6" x14ac:dyDescent="0.2">
      <c r="B377" s="473"/>
      <c r="C377" s="473"/>
      <c r="D377" s="473"/>
      <c r="E377" s="473"/>
      <c r="F377" s="473"/>
    </row>
    <row r="378" spans="2:6" x14ac:dyDescent="0.2">
      <c r="B378" s="473"/>
      <c r="C378" s="473"/>
      <c r="D378" s="473"/>
      <c r="E378" s="473"/>
      <c r="F378" s="473"/>
    </row>
    <row r="379" spans="2:6" x14ac:dyDescent="0.2">
      <c r="B379" s="473"/>
      <c r="C379" s="473"/>
      <c r="D379" s="473"/>
      <c r="E379" s="473"/>
      <c r="F379" s="473"/>
    </row>
    <row r="380" spans="2:6" x14ac:dyDescent="0.2">
      <c r="B380" s="473"/>
      <c r="C380" s="473"/>
      <c r="D380" s="473"/>
      <c r="E380" s="473"/>
      <c r="F380" s="473"/>
    </row>
    <row r="381" spans="2:6" x14ac:dyDescent="0.2">
      <c r="B381" s="473"/>
      <c r="C381" s="473"/>
      <c r="D381" s="473"/>
      <c r="E381" s="473"/>
      <c r="F381" s="473"/>
    </row>
    <row r="382" spans="2:6" x14ac:dyDescent="0.2">
      <c r="B382" s="473"/>
      <c r="C382" s="473"/>
      <c r="D382" s="473"/>
      <c r="E382" s="473"/>
      <c r="F382" s="473"/>
    </row>
    <row r="383" spans="2:6" x14ac:dyDescent="0.2">
      <c r="B383" s="473"/>
      <c r="C383" s="473"/>
      <c r="D383" s="473"/>
      <c r="E383" s="473"/>
      <c r="F383" s="473"/>
    </row>
    <row r="384" spans="2:6" x14ac:dyDescent="0.2">
      <c r="B384" s="473"/>
      <c r="C384" s="473"/>
      <c r="D384" s="473"/>
      <c r="E384" s="473"/>
      <c r="F384" s="473"/>
    </row>
    <row r="385" spans="2:6" x14ac:dyDescent="0.2">
      <c r="B385" s="473"/>
      <c r="C385" s="473"/>
      <c r="D385" s="473"/>
      <c r="E385" s="473"/>
      <c r="F385" s="473"/>
    </row>
    <row r="386" spans="2:6" x14ac:dyDescent="0.2">
      <c r="B386" s="473"/>
      <c r="C386" s="473"/>
      <c r="D386" s="473"/>
      <c r="E386" s="473"/>
      <c r="F386" s="473"/>
    </row>
    <row r="387" spans="2:6" x14ac:dyDescent="0.2">
      <c r="B387" s="473"/>
      <c r="C387" s="473"/>
      <c r="D387" s="473"/>
      <c r="E387" s="473"/>
      <c r="F387" s="473"/>
    </row>
    <row r="388" spans="2:6" x14ac:dyDescent="0.2">
      <c r="B388" s="473"/>
      <c r="C388" s="473"/>
      <c r="D388" s="473"/>
      <c r="E388" s="473"/>
      <c r="F388" s="473"/>
    </row>
    <row r="389" spans="2:6" x14ac:dyDescent="0.2">
      <c r="B389" s="473"/>
      <c r="C389" s="473"/>
      <c r="D389" s="473"/>
      <c r="E389" s="473"/>
      <c r="F389" s="473"/>
    </row>
    <row r="390" spans="2:6" x14ac:dyDescent="0.2">
      <c r="B390" s="473"/>
      <c r="C390" s="473"/>
      <c r="D390" s="473"/>
      <c r="E390" s="473"/>
      <c r="F390" s="473"/>
    </row>
    <row r="391" spans="2:6" x14ac:dyDescent="0.2">
      <c r="B391" s="473"/>
      <c r="C391" s="473"/>
      <c r="D391" s="473"/>
      <c r="E391" s="473"/>
      <c r="F391" s="473"/>
    </row>
    <row r="392" spans="2:6" x14ac:dyDescent="0.2">
      <c r="B392" s="473"/>
      <c r="C392" s="473"/>
      <c r="D392" s="473"/>
      <c r="E392" s="473"/>
      <c r="F392" s="473"/>
    </row>
    <row r="393" spans="2:6" x14ac:dyDescent="0.2">
      <c r="B393" s="473"/>
      <c r="C393" s="473"/>
      <c r="D393" s="473"/>
      <c r="E393" s="473"/>
      <c r="F393" s="473"/>
    </row>
    <row r="394" spans="2:6" x14ac:dyDescent="0.2">
      <c r="B394" s="473"/>
      <c r="C394" s="473"/>
      <c r="D394" s="473"/>
      <c r="E394" s="473"/>
      <c r="F394" s="473"/>
    </row>
    <row r="395" spans="2:6" x14ac:dyDescent="0.2">
      <c r="B395" s="473"/>
      <c r="C395" s="473"/>
      <c r="D395" s="473"/>
      <c r="E395" s="473"/>
      <c r="F395" s="473"/>
    </row>
    <row r="396" spans="2:6" x14ac:dyDescent="0.2">
      <c r="B396" s="473"/>
      <c r="C396" s="473"/>
      <c r="D396" s="473"/>
      <c r="E396" s="473"/>
      <c r="F396" s="473"/>
    </row>
    <row r="397" spans="2:6" x14ac:dyDescent="0.2">
      <c r="B397" s="473"/>
      <c r="C397" s="473"/>
      <c r="D397" s="473"/>
      <c r="E397" s="473"/>
      <c r="F397" s="473"/>
    </row>
    <row r="398" spans="2:6" x14ac:dyDescent="0.2">
      <c r="B398" s="473"/>
      <c r="C398" s="473"/>
      <c r="D398" s="473"/>
      <c r="E398" s="473"/>
      <c r="F398" s="473"/>
    </row>
    <row r="399" spans="2:6" x14ac:dyDescent="0.2">
      <c r="B399" s="473"/>
      <c r="C399" s="473"/>
      <c r="D399" s="473"/>
      <c r="E399" s="473"/>
      <c r="F399" s="473"/>
    </row>
    <row r="400" spans="2:6" x14ac:dyDescent="0.2">
      <c r="B400" s="473"/>
      <c r="C400" s="473"/>
      <c r="D400" s="473"/>
      <c r="E400" s="473"/>
      <c r="F400" s="473"/>
    </row>
    <row r="401" spans="2:6" x14ac:dyDescent="0.2">
      <c r="B401" s="473"/>
      <c r="C401" s="473"/>
      <c r="D401" s="473"/>
      <c r="E401" s="473"/>
      <c r="F401" s="473"/>
    </row>
    <row r="402" spans="2:6" x14ac:dyDescent="0.2">
      <c r="B402" s="473"/>
      <c r="C402" s="473"/>
      <c r="D402" s="473"/>
      <c r="E402" s="473"/>
      <c r="F402" s="473"/>
    </row>
    <row r="403" spans="2:6" x14ac:dyDescent="0.2">
      <c r="B403" s="473"/>
      <c r="C403" s="473"/>
      <c r="D403" s="473"/>
      <c r="E403" s="473"/>
      <c r="F403" s="473"/>
    </row>
    <row r="404" spans="2:6" x14ac:dyDescent="0.2">
      <c r="B404" s="473"/>
      <c r="C404" s="473"/>
      <c r="D404" s="473"/>
      <c r="E404" s="473"/>
      <c r="F404" s="473"/>
    </row>
    <row r="405" spans="2:6" x14ac:dyDescent="0.2">
      <c r="B405" s="473"/>
      <c r="C405" s="473"/>
      <c r="D405" s="473"/>
      <c r="E405" s="473"/>
      <c r="F405" s="473"/>
    </row>
    <row r="406" spans="2:6" x14ac:dyDescent="0.2">
      <c r="B406" s="473"/>
      <c r="C406" s="473"/>
      <c r="D406" s="473"/>
      <c r="E406" s="473"/>
      <c r="F406" s="473"/>
    </row>
    <row r="407" spans="2:6" x14ac:dyDescent="0.2">
      <c r="B407" s="473"/>
      <c r="C407" s="473"/>
      <c r="D407" s="473"/>
      <c r="E407" s="473"/>
      <c r="F407" s="473"/>
    </row>
    <row r="408" spans="2:6" x14ac:dyDescent="0.2">
      <c r="B408" s="473"/>
      <c r="C408" s="473"/>
      <c r="D408" s="473"/>
      <c r="E408" s="473"/>
      <c r="F408" s="473"/>
    </row>
    <row r="409" spans="2:6" x14ac:dyDescent="0.2">
      <c r="B409" s="473"/>
      <c r="C409" s="473"/>
      <c r="D409" s="473"/>
      <c r="E409" s="473"/>
      <c r="F409" s="473"/>
    </row>
    <row r="410" spans="2:6" x14ac:dyDescent="0.2">
      <c r="B410" s="473"/>
      <c r="C410" s="473"/>
      <c r="D410" s="473"/>
      <c r="E410" s="473"/>
      <c r="F410" s="473"/>
    </row>
    <row r="411" spans="2:6" x14ac:dyDescent="0.2">
      <c r="B411" s="473"/>
      <c r="C411" s="473"/>
      <c r="D411" s="473"/>
      <c r="E411" s="473"/>
      <c r="F411" s="473"/>
    </row>
    <row r="412" spans="2:6" x14ac:dyDescent="0.2">
      <c r="B412" s="473"/>
      <c r="C412" s="473"/>
      <c r="D412" s="473"/>
      <c r="E412" s="473"/>
      <c r="F412" s="473"/>
    </row>
    <row r="413" spans="2:6" x14ac:dyDescent="0.2">
      <c r="B413" s="473"/>
      <c r="C413" s="473"/>
      <c r="D413" s="473"/>
      <c r="E413" s="473"/>
      <c r="F413" s="473"/>
    </row>
    <row r="414" spans="2:6" x14ac:dyDescent="0.2">
      <c r="B414" s="473"/>
      <c r="C414" s="473"/>
      <c r="D414" s="473"/>
      <c r="E414" s="473"/>
      <c r="F414" s="473"/>
    </row>
    <row r="415" spans="2:6" x14ac:dyDescent="0.2">
      <c r="B415" s="473"/>
      <c r="C415" s="473"/>
      <c r="D415" s="473"/>
      <c r="E415" s="473"/>
      <c r="F415" s="473"/>
    </row>
    <row r="416" spans="2:6" x14ac:dyDescent="0.2">
      <c r="B416" s="473"/>
      <c r="C416" s="473"/>
      <c r="D416" s="473"/>
      <c r="E416" s="473"/>
      <c r="F416" s="473"/>
    </row>
    <row r="417" spans="2:6" x14ac:dyDescent="0.2">
      <c r="B417" s="473"/>
      <c r="C417" s="473"/>
      <c r="D417" s="473"/>
      <c r="E417" s="473"/>
      <c r="F417" s="473"/>
    </row>
    <row r="418" spans="2:6" x14ac:dyDescent="0.2">
      <c r="B418" s="473"/>
      <c r="C418" s="473"/>
      <c r="D418" s="473"/>
      <c r="E418" s="473"/>
      <c r="F418" s="473"/>
    </row>
    <row r="419" spans="2:6" x14ac:dyDescent="0.2">
      <c r="B419" s="473"/>
      <c r="C419" s="473"/>
      <c r="D419" s="473"/>
      <c r="E419" s="473"/>
      <c r="F419" s="473"/>
    </row>
    <row r="420" spans="2:6" x14ac:dyDescent="0.2">
      <c r="B420" s="473"/>
      <c r="C420" s="473"/>
      <c r="D420" s="473"/>
      <c r="E420" s="473"/>
      <c r="F420" s="473"/>
    </row>
    <row r="421" spans="2:6" x14ac:dyDescent="0.2">
      <c r="B421" s="473"/>
      <c r="C421" s="473"/>
      <c r="D421" s="473"/>
      <c r="E421" s="473"/>
      <c r="F421" s="473"/>
    </row>
    <row r="422" spans="2:6" x14ac:dyDescent="0.2">
      <c r="B422" s="473"/>
      <c r="C422" s="473"/>
      <c r="D422" s="473"/>
      <c r="E422" s="473"/>
      <c r="F422" s="473"/>
    </row>
    <row r="423" spans="2:6" x14ac:dyDescent="0.2">
      <c r="B423" s="473"/>
      <c r="C423" s="473"/>
      <c r="D423" s="473"/>
      <c r="E423" s="473"/>
      <c r="F423" s="473"/>
    </row>
    <row r="424" spans="2:6" x14ac:dyDescent="0.2">
      <c r="B424" s="473"/>
      <c r="C424" s="473"/>
      <c r="D424" s="473"/>
      <c r="E424" s="473"/>
      <c r="F424" s="473"/>
    </row>
    <row r="425" spans="2:6" x14ac:dyDescent="0.2">
      <c r="B425" s="473"/>
      <c r="C425" s="473"/>
      <c r="D425" s="473"/>
      <c r="E425" s="473"/>
      <c r="F425" s="473"/>
    </row>
    <row r="426" spans="2:6" x14ac:dyDescent="0.2">
      <c r="B426" s="473"/>
      <c r="C426" s="473"/>
      <c r="D426" s="473"/>
      <c r="E426" s="473"/>
      <c r="F426" s="473"/>
    </row>
    <row r="427" spans="2:6" x14ac:dyDescent="0.2">
      <c r="B427" s="473"/>
      <c r="C427" s="473"/>
      <c r="D427" s="473"/>
      <c r="E427" s="473"/>
      <c r="F427" s="473"/>
    </row>
    <row r="428" spans="2:6" x14ac:dyDescent="0.2">
      <c r="B428" s="473"/>
      <c r="C428" s="473"/>
      <c r="D428" s="473"/>
      <c r="E428" s="473"/>
      <c r="F428" s="473"/>
    </row>
    <row r="429" spans="2:6" x14ac:dyDescent="0.2">
      <c r="B429" s="473"/>
      <c r="C429" s="473"/>
      <c r="D429" s="473"/>
      <c r="E429" s="473"/>
      <c r="F429" s="473"/>
    </row>
    <row r="430" spans="2:6" x14ac:dyDescent="0.2">
      <c r="B430" s="473"/>
      <c r="C430" s="473"/>
      <c r="D430" s="473"/>
      <c r="E430" s="473"/>
      <c r="F430" s="473"/>
    </row>
    <row r="431" spans="2:6" x14ac:dyDescent="0.2">
      <c r="B431" s="473"/>
      <c r="C431" s="473"/>
      <c r="D431" s="473"/>
      <c r="E431" s="473"/>
      <c r="F431" s="473"/>
    </row>
    <row r="432" spans="2:6" x14ac:dyDescent="0.2">
      <c r="B432" s="473"/>
      <c r="C432" s="473"/>
      <c r="D432" s="473"/>
      <c r="E432" s="473"/>
      <c r="F432" s="473"/>
    </row>
    <row r="433" spans="2:6" x14ac:dyDescent="0.2">
      <c r="B433" s="473"/>
      <c r="C433" s="473"/>
      <c r="D433" s="473"/>
      <c r="E433" s="473"/>
      <c r="F433" s="473"/>
    </row>
    <row r="434" spans="2:6" x14ac:dyDescent="0.2">
      <c r="B434" s="473"/>
      <c r="C434" s="473"/>
      <c r="D434" s="473"/>
      <c r="E434" s="473"/>
      <c r="F434" s="473"/>
    </row>
    <row r="435" spans="2:6" x14ac:dyDescent="0.2">
      <c r="B435" s="473"/>
      <c r="C435" s="473"/>
      <c r="D435" s="473"/>
      <c r="E435" s="473"/>
      <c r="F435" s="473"/>
    </row>
    <row r="436" spans="2:6" x14ac:dyDescent="0.2">
      <c r="B436" s="473"/>
      <c r="C436" s="473"/>
      <c r="D436" s="473"/>
      <c r="E436" s="473"/>
      <c r="F436" s="473"/>
    </row>
    <row r="437" spans="2:6" x14ac:dyDescent="0.2">
      <c r="B437" s="473"/>
      <c r="C437" s="473"/>
      <c r="D437" s="473"/>
      <c r="E437" s="473"/>
      <c r="F437" s="473"/>
    </row>
    <row r="438" spans="2:6" x14ac:dyDescent="0.2">
      <c r="B438" s="473"/>
      <c r="C438" s="473"/>
      <c r="D438" s="473"/>
      <c r="E438" s="473"/>
      <c r="F438" s="473"/>
    </row>
    <row r="439" spans="2:6" x14ac:dyDescent="0.2">
      <c r="B439" s="473"/>
      <c r="C439" s="473"/>
      <c r="D439" s="473"/>
      <c r="E439" s="473"/>
      <c r="F439" s="473"/>
    </row>
    <row r="440" spans="2:6" x14ac:dyDescent="0.2">
      <c r="B440" s="473"/>
      <c r="C440" s="473"/>
      <c r="D440" s="473"/>
      <c r="E440" s="473"/>
      <c r="F440" s="473"/>
    </row>
    <row r="441" spans="2:6" x14ac:dyDescent="0.2">
      <c r="B441" s="473"/>
      <c r="C441" s="473"/>
      <c r="D441" s="473"/>
      <c r="E441" s="473"/>
      <c r="F441" s="473"/>
    </row>
    <row r="442" spans="2:6" x14ac:dyDescent="0.2">
      <c r="B442" s="473"/>
      <c r="C442" s="473"/>
      <c r="D442" s="473"/>
      <c r="E442" s="473"/>
      <c r="F442" s="473"/>
    </row>
    <row r="443" spans="2:6" x14ac:dyDescent="0.2">
      <c r="B443" s="473"/>
      <c r="C443" s="473"/>
      <c r="D443" s="473"/>
      <c r="E443" s="473"/>
      <c r="F443" s="473"/>
    </row>
    <row r="444" spans="2:6" x14ac:dyDescent="0.2">
      <c r="B444" s="473"/>
      <c r="C444" s="473"/>
      <c r="D444" s="473"/>
      <c r="E444" s="473"/>
      <c r="F444" s="473"/>
    </row>
    <row r="445" spans="2:6" x14ac:dyDescent="0.2">
      <c r="B445" s="473"/>
      <c r="C445" s="473"/>
      <c r="D445" s="473"/>
      <c r="E445" s="473"/>
      <c r="F445" s="473"/>
    </row>
    <row r="446" spans="2:6" x14ac:dyDescent="0.2">
      <c r="B446" s="473"/>
      <c r="C446" s="473"/>
      <c r="D446" s="473"/>
      <c r="E446" s="473"/>
      <c r="F446" s="473"/>
    </row>
    <row r="447" spans="2:6" x14ac:dyDescent="0.2">
      <c r="B447" s="473"/>
      <c r="C447" s="473"/>
      <c r="D447" s="473"/>
      <c r="E447" s="473"/>
      <c r="F447" s="473"/>
    </row>
    <row r="448" spans="2:6" x14ac:dyDescent="0.2">
      <c r="B448" s="473"/>
      <c r="C448" s="473"/>
      <c r="D448" s="473"/>
      <c r="E448" s="473"/>
      <c r="F448" s="473"/>
    </row>
    <row r="449" spans="2:6" x14ac:dyDescent="0.2">
      <c r="B449" s="473"/>
      <c r="C449" s="473"/>
      <c r="D449" s="473"/>
      <c r="E449" s="473"/>
      <c r="F449" s="473"/>
    </row>
    <row r="450" spans="2:6" x14ac:dyDescent="0.2">
      <c r="B450" s="473"/>
      <c r="C450" s="473"/>
      <c r="D450" s="473"/>
      <c r="E450" s="473"/>
      <c r="F450" s="473"/>
    </row>
    <row r="451" spans="2:6" x14ac:dyDescent="0.2">
      <c r="B451" s="473"/>
      <c r="C451" s="473"/>
      <c r="D451" s="473"/>
      <c r="E451" s="473"/>
      <c r="F451" s="473"/>
    </row>
    <row r="452" spans="2:6" x14ac:dyDescent="0.2">
      <c r="B452" s="473"/>
      <c r="C452" s="473"/>
      <c r="D452" s="473"/>
      <c r="E452" s="473"/>
      <c r="F452" s="473"/>
    </row>
    <row r="453" spans="2:6" x14ac:dyDescent="0.2">
      <c r="B453" s="473"/>
      <c r="C453" s="473"/>
      <c r="D453" s="473"/>
      <c r="E453" s="473"/>
      <c r="F453" s="473"/>
    </row>
    <row r="454" spans="2:6" x14ac:dyDescent="0.2">
      <c r="B454" s="473"/>
      <c r="C454" s="473"/>
      <c r="D454" s="473"/>
      <c r="E454" s="473"/>
      <c r="F454" s="473"/>
    </row>
    <row r="455" spans="2:6" x14ac:dyDescent="0.2">
      <c r="B455" s="473"/>
      <c r="C455" s="473"/>
      <c r="D455" s="473"/>
      <c r="E455" s="473"/>
      <c r="F455" s="473"/>
    </row>
    <row r="456" spans="2:6" x14ac:dyDescent="0.2">
      <c r="B456" s="473"/>
      <c r="C456" s="473"/>
      <c r="D456" s="473"/>
      <c r="E456" s="473"/>
      <c r="F456" s="473"/>
    </row>
    <row r="457" spans="2:6" x14ac:dyDescent="0.2">
      <c r="B457" s="473"/>
      <c r="C457" s="473"/>
      <c r="D457" s="473"/>
      <c r="E457" s="473"/>
      <c r="F457" s="473"/>
    </row>
    <row r="458" spans="2:6" x14ac:dyDescent="0.2">
      <c r="B458" s="473"/>
      <c r="C458" s="473"/>
      <c r="D458" s="473"/>
      <c r="E458" s="473"/>
      <c r="F458" s="473"/>
    </row>
    <row r="459" spans="2:6" x14ac:dyDescent="0.2">
      <c r="B459" s="473"/>
      <c r="C459" s="473"/>
      <c r="D459" s="473"/>
      <c r="E459" s="473"/>
      <c r="F459" s="473"/>
    </row>
    <row r="460" spans="2:6" x14ac:dyDescent="0.2">
      <c r="B460" s="473"/>
      <c r="C460" s="473"/>
      <c r="D460" s="473"/>
      <c r="E460" s="473"/>
      <c r="F460" s="473"/>
    </row>
    <row r="461" spans="2:6" x14ac:dyDescent="0.2">
      <c r="B461" s="473"/>
      <c r="C461" s="473"/>
      <c r="D461" s="473"/>
      <c r="E461" s="473"/>
      <c r="F461" s="473"/>
    </row>
    <row r="462" spans="2:6" x14ac:dyDescent="0.2">
      <c r="B462" s="473"/>
      <c r="C462" s="473"/>
      <c r="D462" s="473"/>
      <c r="E462" s="473"/>
      <c r="F462" s="473"/>
    </row>
    <row r="463" spans="2:6" x14ac:dyDescent="0.2">
      <c r="B463" s="473"/>
      <c r="C463" s="473"/>
      <c r="D463" s="473"/>
      <c r="E463" s="473"/>
      <c r="F463" s="473"/>
    </row>
    <row r="464" spans="2:6" x14ac:dyDescent="0.2">
      <c r="B464" s="473"/>
      <c r="C464" s="473"/>
      <c r="D464" s="473"/>
      <c r="E464" s="473"/>
      <c r="F464" s="473"/>
    </row>
    <row r="465" spans="2:6" x14ac:dyDescent="0.2">
      <c r="B465" s="473"/>
      <c r="C465" s="473"/>
      <c r="D465" s="473"/>
      <c r="E465" s="473"/>
      <c r="F465" s="473"/>
    </row>
    <row r="466" spans="2:6" x14ac:dyDescent="0.2">
      <c r="B466" s="473"/>
      <c r="C466" s="473"/>
      <c r="D466" s="473"/>
      <c r="E466" s="473"/>
      <c r="F466" s="473"/>
    </row>
    <row r="467" spans="2:6" x14ac:dyDescent="0.2">
      <c r="B467" s="473"/>
      <c r="C467" s="473"/>
      <c r="D467" s="473"/>
      <c r="E467" s="473"/>
      <c r="F467" s="473"/>
    </row>
    <row r="468" spans="2:6" x14ac:dyDescent="0.2">
      <c r="B468" s="473"/>
      <c r="C468" s="473"/>
      <c r="D468" s="473"/>
      <c r="E468" s="473"/>
      <c r="F468" s="473"/>
    </row>
    <row r="469" spans="2:6" x14ac:dyDescent="0.2">
      <c r="B469" s="473"/>
      <c r="C469" s="473"/>
      <c r="D469" s="473"/>
      <c r="E469" s="473"/>
      <c r="F469" s="473"/>
    </row>
    <row r="470" spans="2:6" x14ac:dyDescent="0.2">
      <c r="B470" s="473"/>
      <c r="C470" s="473"/>
      <c r="D470" s="473"/>
      <c r="E470" s="473"/>
      <c r="F470" s="473"/>
    </row>
    <row r="471" spans="2:6" x14ac:dyDescent="0.2">
      <c r="B471" s="473"/>
      <c r="C471" s="473"/>
      <c r="D471" s="473"/>
      <c r="E471" s="473"/>
      <c r="F471" s="473"/>
    </row>
    <row r="472" spans="2:6" x14ac:dyDescent="0.2">
      <c r="B472" s="473"/>
      <c r="C472" s="473"/>
      <c r="D472" s="473"/>
      <c r="E472" s="473"/>
      <c r="F472" s="473"/>
    </row>
    <row r="473" spans="2:6" x14ac:dyDescent="0.2">
      <c r="B473" s="473"/>
      <c r="C473" s="473"/>
      <c r="D473" s="473"/>
      <c r="E473" s="473"/>
      <c r="F473" s="473"/>
    </row>
    <row r="474" spans="2:6" x14ac:dyDescent="0.2">
      <c r="B474" s="473"/>
      <c r="C474" s="473"/>
      <c r="D474" s="473"/>
      <c r="E474" s="473"/>
      <c r="F474" s="473"/>
    </row>
    <row r="475" spans="2:6" x14ac:dyDescent="0.2">
      <c r="B475" s="473"/>
      <c r="C475" s="473"/>
      <c r="D475" s="473"/>
      <c r="E475" s="473"/>
      <c r="F475" s="473"/>
    </row>
    <row r="476" spans="2:6" x14ac:dyDescent="0.2">
      <c r="B476" s="473"/>
      <c r="C476" s="473"/>
      <c r="D476" s="473"/>
      <c r="E476" s="473"/>
      <c r="F476" s="473"/>
    </row>
    <row r="477" spans="2:6" x14ac:dyDescent="0.2">
      <c r="B477" s="473"/>
      <c r="C477" s="473"/>
      <c r="D477" s="473"/>
      <c r="E477" s="473"/>
      <c r="F477" s="473"/>
    </row>
    <row r="478" spans="2:6" x14ac:dyDescent="0.2">
      <c r="B478" s="473"/>
      <c r="C478" s="473"/>
      <c r="D478" s="473"/>
      <c r="E478" s="473"/>
      <c r="F478" s="473"/>
    </row>
    <row r="479" spans="2:6" x14ac:dyDescent="0.2">
      <c r="B479" s="473"/>
      <c r="C479" s="473"/>
      <c r="D479" s="473"/>
      <c r="E479" s="473"/>
      <c r="F479" s="473"/>
    </row>
    <row r="480" spans="2:6" x14ac:dyDescent="0.2">
      <c r="B480" s="473"/>
      <c r="C480" s="473"/>
      <c r="D480" s="473"/>
      <c r="E480" s="473"/>
      <c r="F480" s="473"/>
    </row>
    <row r="481" spans="2:6" x14ac:dyDescent="0.2">
      <c r="B481" s="473"/>
      <c r="C481" s="473"/>
      <c r="D481" s="473"/>
      <c r="E481" s="473"/>
      <c r="F481" s="473"/>
    </row>
    <row r="482" spans="2:6" x14ac:dyDescent="0.2">
      <c r="B482" s="473"/>
      <c r="C482" s="473"/>
      <c r="D482" s="473"/>
      <c r="E482" s="473"/>
      <c r="F482" s="473"/>
    </row>
    <row r="483" spans="2:6" x14ac:dyDescent="0.2">
      <c r="B483" s="473"/>
      <c r="C483" s="473"/>
      <c r="D483" s="473"/>
      <c r="E483" s="473"/>
      <c r="F483" s="473"/>
    </row>
    <row r="484" spans="2:6" x14ac:dyDescent="0.2">
      <c r="B484" s="473"/>
      <c r="C484" s="473"/>
      <c r="D484" s="473"/>
      <c r="E484" s="473"/>
      <c r="F484" s="473"/>
    </row>
    <row r="485" spans="2:6" x14ac:dyDescent="0.2">
      <c r="B485" s="473"/>
      <c r="C485" s="473"/>
      <c r="D485" s="473"/>
      <c r="E485" s="473"/>
      <c r="F485" s="473"/>
    </row>
    <row r="486" spans="2:6" x14ac:dyDescent="0.2">
      <c r="B486" s="473"/>
      <c r="C486" s="473"/>
      <c r="D486" s="473"/>
      <c r="E486" s="473"/>
      <c r="F486" s="473"/>
    </row>
    <row r="487" spans="2:6" x14ac:dyDescent="0.2">
      <c r="B487" s="473"/>
      <c r="C487" s="473"/>
      <c r="D487" s="473"/>
      <c r="E487" s="473"/>
      <c r="F487" s="473"/>
    </row>
    <row r="488" spans="2:6" x14ac:dyDescent="0.2">
      <c r="B488" s="473"/>
      <c r="C488" s="473"/>
      <c r="D488" s="473"/>
      <c r="E488" s="473"/>
      <c r="F488" s="473"/>
    </row>
    <row r="489" spans="2:6" x14ac:dyDescent="0.2">
      <c r="B489" s="473"/>
      <c r="C489" s="473"/>
      <c r="D489" s="473"/>
      <c r="E489" s="473"/>
      <c r="F489" s="473"/>
    </row>
    <row r="490" spans="2:6" x14ac:dyDescent="0.2">
      <c r="B490" s="473"/>
      <c r="C490" s="473"/>
      <c r="D490" s="473"/>
      <c r="E490" s="473"/>
      <c r="F490" s="473"/>
    </row>
    <row r="491" spans="2:6" x14ac:dyDescent="0.2">
      <c r="B491" s="473"/>
      <c r="C491" s="473"/>
      <c r="D491" s="473"/>
      <c r="E491" s="473"/>
      <c r="F491" s="473"/>
    </row>
    <row r="492" spans="2:6" x14ac:dyDescent="0.2">
      <c r="B492" s="473"/>
      <c r="C492" s="473"/>
      <c r="D492" s="473"/>
      <c r="E492" s="473"/>
      <c r="F492" s="473"/>
    </row>
    <row r="493" spans="2:6" x14ac:dyDescent="0.2">
      <c r="B493" s="473"/>
      <c r="C493" s="473"/>
      <c r="D493" s="473"/>
      <c r="E493" s="473"/>
      <c r="F493" s="473"/>
    </row>
    <row r="494" spans="2:6" x14ac:dyDescent="0.2">
      <c r="B494" s="473"/>
      <c r="C494" s="473"/>
      <c r="D494" s="473"/>
      <c r="E494" s="473"/>
      <c r="F494" s="473"/>
    </row>
    <row r="495" spans="2:6" x14ac:dyDescent="0.2">
      <c r="B495" s="473"/>
      <c r="C495" s="473"/>
      <c r="D495" s="473"/>
      <c r="E495" s="473"/>
      <c r="F495" s="473"/>
    </row>
    <row r="496" spans="2:6" x14ac:dyDescent="0.2">
      <c r="B496" s="473"/>
      <c r="C496" s="473"/>
      <c r="D496" s="473"/>
      <c r="E496" s="473"/>
      <c r="F496" s="473"/>
    </row>
    <row r="497" spans="2:6" x14ac:dyDescent="0.2">
      <c r="B497" s="473"/>
      <c r="C497" s="473"/>
      <c r="D497" s="473"/>
      <c r="E497" s="473"/>
      <c r="F497" s="473"/>
    </row>
    <row r="498" spans="2:6" x14ac:dyDescent="0.2">
      <c r="B498" s="473"/>
      <c r="C498" s="473"/>
      <c r="D498" s="473"/>
      <c r="E498" s="473"/>
      <c r="F498" s="473"/>
    </row>
    <row r="499" spans="2:6" x14ac:dyDescent="0.2">
      <c r="B499" s="473"/>
      <c r="C499" s="473"/>
      <c r="D499" s="473"/>
      <c r="E499" s="473"/>
      <c r="F499" s="473"/>
    </row>
    <row r="500" spans="2:6" x14ac:dyDescent="0.2">
      <c r="B500" s="473"/>
      <c r="C500" s="473"/>
      <c r="D500" s="473"/>
      <c r="E500" s="473"/>
      <c r="F500" s="473"/>
    </row>
    <row r="501" spans="2:6" x14ac:dyDescent="0.2">
      <c r="B501" s="473"/>
      <c r="C501" s="473"/>
      <c r="D501" s="473"/>
      <c r="E501" s="473"/>
      <c r="F501" s="473"/>
    </row>
    <row r="502" spans="2:6" x14ac:dyDescent="0.2">
      <c r="B502" s="473"/>
      <c r="C502" s="473"/>
      <c r="D502" s="473"/>
      <c r="E502" s="473"/>
      <c r="F502" s="473"/>
    </row>
    <row r="503" spans="2:6" x14ac:dyDescent="0.2">
      <c r="B503" s="473"/>
      <c r="C503" s="473"/>
      <c r="D503" s="473"/>
      <c r="E503" s="473"/>
      <c r="F503" s="473"/>
    </row>
    <row r="504" spans="2:6" x14ac:dyDescent="0.2">
      <c r="B504" s="473"/>
      <c r="C504" s="473"/>
      <c r="D504" s="473"/>
      <c r="E504" s="473"/>
      <c r="F504" s="473"/>
    </row>
    <row r="505" spans="2:6" x14ac:dyDescent="0.2">
      <c r="B505" s="473"/>
      <c r="C505" s="473"/>
      <c r="D505" s="473"/>
      <c r="E505" s="473"/>
      <c r="F505" s="473"/>
    </row>
    <row r="506" spans="2:6" x14ac:dyDescent="0.2">
      <c r="B506" s="473"/>
      <c r="C506" s="473"/>
      <c r="D506" s="473"/>
      <c r="E506" s="473"/>
      <c r="F506" s="473"/>
    </row>
    <row r="507" spans="2:6" x14ac:dyDescent="0.2">
      <c r="B507" s="473"/>
      <c r="C507" s="473"/>
      <c r="D507" s="473"/>
      <c r="E507" s="473"/>
      <c r="F507" s="473"/>
    </row>
    <row r="508" spans="2:6" x14ac:dyDescent="0.2">
      <c r="B508" s="473"/>
      <c r="C508" s="473"/>
      <c r="D508" s="473"/>
      <c r="E508" s="473"/>
      <c r="F508" s="473"/>
    </row>
    <row r="509" spans="2:6" x14ac:dyDescent="0.2">
      <c r="B509" s="473"/>
      <c r="C509" s="473"/>
      <c r="D509" s="473"/>
      <c r="E509" s="473"/>
      <c r="F509" s="473"/>
    </row>
    <row r="510" spans="2:6" x14ac:dyDescent="0.2">
      <c r="B510" s="473"/>
      <c r="C510" s="473"/>
      <c r="D510" s="473"/>
      <c r="E510" s="473"/>
      <c r="F510" s="473"/>
    </row>
    <row r="511" spans="2:6" x14ac:dyDescent="0.2">
      <c r="B511" s="473"/>
      <c r="C511" s="473"/>
      <c r="D511" s="473"/>
      <c r="E511" s="473"/>
      <c r="F511" s="473"/>
    </row>
    <row r="512" spans="2:6" x14ac:dyDescent="0.2">
      <c r="B512" s="473"/>
      <c r="C512" s="473"/>
      <c r="D512" s="473"/>
      <c r="E512" s="473"/>
      <c r="F512" s="473"/>
    </row>
    <row r="513" spans="2:6" x14ac:dyDescent="0.2">
      <c r="B513" s="473"/>
      <c r="C513" s="473"/>
      <c r="D513" s="473"/>
      <c r="E513" s="473"/>
      <c r="F513" s="473"/>
    </row>
    <row r="514" spans="2:6" x14ac:dyDescent="0.2">
      <c r="B514" s="473"/>
      <c r="C514" s="473"/>
      <c r="D514" s="473"/>
      <c r="E514" s="473"/>
      <c r="F514" s="473"/>
    </row>
    <row r="515" spans="2:6" x14ac:dyDescent="0.2">
      <c r="B515" s="473"/>
      <c r="C515" s="473"/>
      <c r="D515" s="473"/>
      <c r="E515" s="473"/>
      <c r="F515" s="473"/>
    </row>
    <row r="516" spans="2:6" x14ac:dyDescent="0.2">
      <c r="B516" s="473"/>
      <c r="C516" s="473"/>
      <c r="D516" s="473"/>
      <c r="E516" s="473"/>
      <c r="F516" s="473"/>
    </row>
    <row r="517" spans="2:6" x14ac:dyDescent="0.2">
      <c r="B517" s="473"/>
      <c r="C517" s="473"/>
      <c r="D517" s="473"/>
      <c r="E517" s="473"/>
      <c r="F517" s="473"/>
    </row>
    <row r="518" spans="2:6" x14ac:dyDescent="0.2">
      <c r="B518" s="473"/>
      <c r="C518" s="473"/>
      <c r="D518" s="473"/>
      <c r="E518" s="473"/>
      <c r="F518" s="473"/>
    </row>
    <row r="519" spans="2:6" x14ac:dyDescent="0.2">
      <c r="B519" s="473"/>
      <c r="C519" s="473"/>
      <c r="D519" s="473"/>
      <c r="E519" s="473"/>
      <c r="F519" s="473"/>
    </row>
    <row r="520" spans="2:6" x14ac:dyDescent="0.2">
      <c r="B520" s="473"/>
      <c r="C520" s="473"/>
      <c r="D520" s="473"/>
      <c r="E520" s="473"/>
      <c r="F520" s="473"/>
    </row>
    <row r="521" spans="2:6" x14ac:dyDescent="0.2">
      <c r="B521" s="473"/>
      <c r="C521" s="473"/>
      <c r="D521" s="473"/>
      <c r="E521" s="473"/>
      <c r="F521" s="473"/>
    </row>
    <row r="522" spans="2:6" x14ac:dyDescent="0.2">
      <c r="B522" s="473"/>
      <c r="C522" s="473"/>
      <c r="D522" s="473"/>
      <c r="E522" s="473"/>
      <c r="F522" s="473"/>
    </row>
    <row r="523" spans="2:6" x14ac:dyDescent="0.2">
      <c r="B523" s="473"/>
      <c r="C523" s="473"/>
      <c r="D523" s="473"/>
      <c r="E523" s="473"/>
      <c r="F523" s="473"/>
    </row>
  </sheetData>
  <printOptions horizontalCentered="1"/>
  <pageMargins left="0" right="0" top="1.1811023622047245" bottom="0" header="0" footer="0"/>
  <pageSetup paperSize="9" scale="70" orientation="landscape" horizontalDpi="4294967295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1"/>
  <sheetViews>
    <sheetView topLeftCell="A43" zoomScale="75" workbookViewId="0">
      <selection activeCell="I63" sqref="I63"/>
    </sheetView>
  </sheetViews>
  <sheetFormatPr defaultRowHeight="12.75" x14ac:dyDescent="0.2"/>
  <cols>
    <col min="1" max="1" width="15.85546875" style="343" customWidth="1"/>
    <col min="2" max="3" width="10.5703125" style="343" customWidth="1"/>
    <col min="4" max="4" width="9.85546875" style="343" customWidth="1"/>
    <col min="5" max="5" width="9.28515625" style="343" customWidth="1"/>
    <col min="6" max="6" width="69.28515625" style="343" customWidth="1"/>
    <col min="7" max="7" width="21" style="343" customWidth="1"/>
    <col min="8" max="8" width="20.85546875" style="474" customWidth="1"/>
    <col min="9" max="9" width="21" style="343" customWidth="1"/>
    <col min="10" max="10" width="13.85546875" style="343" customWidth="1"/>
    <col min="11" max="16384" width="9.140625" style="343"/>
  </cols>
  <sheetData>
    <row r="1" spans="1:10" ht="15" x14ac:dyDescent="0.2">
      <c r="G1" s="344"/>
      <c r="H1" s="345"/>
    </row>
    <row r="3" spans="1:10" ht="23.25" x14ac:dyDescent="0.35">
      <c r="A3" s="346" t="s">
        <v>499</v>
      </c>
      <c r="B3" s="347"/>
      <c r="C3" s="347"/>
      <c r="D3" s="347"/>
      <c r="E3" s="347"/>
      <c r="F3" s="347"/>
      <c r="G3" s="347"/>
      <c r="H3" s="348"/>
      <c r="I3" s="349"/>
      <c r="J3" s="349"/>
    </row>
    <row r="4" spans="1:10" ht="24.75" customHeight="1" x14ac:dyDescent="0.25">
      <c r="A4" s="346" t="s">
        <v>460</v>
      </c>
      <c r="B4" s="346"/>
      <c r="C4" s="346"/>
      <c r="D4" s="346"/>
      <c r="E4" s="350"/>
      <c r="F4" s="350"/>
      <c r="G4" s="349"/>
      <c r="H4" s="351"/>
      <c r="I4" s="349"/>
    </row>
    <row r="5" spans="1:10" ht="15.75" thickBot="1" x14ac:dyDescent="0.25">
      <c r="B5" s="352"/>
      <c r="C5" s="352"/>
      <c r="G5" s="353"/>
      <c r="H5" s="354"/>
      <c r="I5" s="344"/>
      <c r="J5" s="355" t="s">
        <v>244</v>
      </c>
    </row>
    <row r="6" spans="1:10" ht="24" customHeight="1" x14ac:dyDescent="0.25">
      <c r="A6" s="356" t="s">
        <v>288</v>
      </c>
      <c r="B6" s="357" t="s">
        <v>289</v>
      </c>
      <c r="C6" s="358"/>
      <c r="D6" s="358"/>
      <c r="E6" s="359"/>
      <c r="F6" s="360" t="s">
        <v>290</v>
      </c>
      <c r="G6" s="360" t="s">
        <v>291</v>
      </c>
      <c r="H6" s="361" t="s">
        <v>292</v>
      </c>
      <c r="I6" s="360" t="s">
        <v>293</v>
      </c>
      <c r="J6" s="360" t="s">
        <v>294</v>
      </c>
    </row>
    <row r="7" spans="1:10" ht="17.25" customHeight="1" x14ac:dyDescent="0.25">
      <c r="A7" s="362" t="s">
        <v>295</v>
      </c>
      <c r="B7" s="363" t="s">
        <v>296</v>
      </c>
      <c r="C7" s="364" t="s">
        <v>297</v>
      </c>
      <c r="D7" s="365" t="s">
        <v>298</v>
      </c>
      <c r="E7" s="366" t="s">
        <v>299</v>
      </c>
      <c r="F7" s="367"/>
      <c r="G7" s="368" t="s">
        <v>300</v>
      </c>
      <c r="H7" s="369" t="s">
        <v>301</v>
      </c>
      <c r="I7" s="368" t="s">
        <v>302</v>
      </c>
      <c r="J7" s="368" t="s">
        <v>303</v>
      </c>
    </row>
    <row r="8" spans="1:10" ht="15" x14ac:dyDescent="0.25">
      <c r="A8" s="370" t="s">
        <v>304</v>
      </c>
      <c r="B8" s="371" t="s">
        <v>305</v>
      </c>
      <c r="C8" s="364"/>
      <c r="D8" s="364"/>
      <c r="E8" s="372" t="s">
        <v>306</v>
      </c>
      <c r="F8" s="373"/>
      <c r="G8" s="368" t="s">
        <v>307</v>
      </c>
      <c r="H8" s="369" t="s">
        <v>307</v>
      </c>
      <c r="I8" s="374">
        <v>2014</v>
      </c>
      <c r="J8" s="375" t="s">
        <v>308</v>
      </c>
    </row>
    <row r="9" spans="1:10" ht="15.75" thickBot="1" x14ac:dyDescent="0.3">
      <c r="A9" s="370" t="s">
        <v>309</v>
      </c>
      <c r="B9" s="376"/>
      <c r="C9" s="377"/>
      <c r="D9" s="377"/>
      <c r="E9" s="378"/>
      <c r="F9" s="379"/>
      <c r="G9" s="374"/>
      <c r="H9" s="380"/>
      <c r="I9" s="381"/>
      <c r="J9" s="382"/>
    </row>
    <row r="10" spans="1:10" ht="15" thickBot="1" x14ac:dyDescent="0.25">
      <c r="A10" s="383" t="s">
        <v>0</v>
      </c>
      <c r="B10" s="384" t="s">
        <v>310</v>
      </c>
      <c r="C10" s="385" t="s">
        <v>311</v>
      </c>
      <c r="D10" s="385" t="s">
        <v>312</v>
      </c>
      <c r="E10" s="386" t="s">
        <v>313</v>
      </c>
      <c r="F10" s="386" t="s">
        <v>314</v>
      </c>
      <c r="G10" s="386">
        <v>1</v>
      </c>
      <c r="H10" s="387">
        <v>2</v>
      </c>
      <c r="I10" s="386">
        <v>3</v>
      </c>
      <c r="J10" s="386">
        <v>4</v>
      </c>
    </row>
    <row r="11" spans="1:10" ht="24.75" customHeight="1" x14ac:dyDescent="0.25">
      <c r="A11" s="388" t="s">
        <v>315</v>
      </c>
      <c r="B11" s="389" t="s">
        <v>316</v>
      </c>
      <c r="C11" s="390"/>
      <c r="D11" s="391"/>
      <c r="E11" s="392"/>
      <c r="F11" s="393" t="s">
        <v>263</v>
      </c>
      <c r="G11" s="394">
        <f>SUM(G12+G18+G19+G71)</f>
        <v>43990150</v>
      </c>
      <c r="H11" s="394">
        <f>SUM(H12+H18+H19+H71)</f>
        <v>56082904</v>
      </c>
      <c r="I11" s="394">
        <f>SUM(I12+I18+I19+I71)</f>
        <v>55075623</v>
      </c>
      <c r="J11" s="395">
        <f t="shared" ref="J11:J74" si="0">SUM($I11/H11)*100</f>
        <v>98.203942862873149</v>
      </c>
    </row>
    <row r="12" spans="1:10" ht="18.95" customHeight="1" x14ac:dyDescent="0.25">
      <c r="A12" s="396" t="s">
        <v>315</v>
      </c>
      <c r="B12" s="397"/>
      <c r="C12" s="398" t="s">
        <v>317</v>
      </c>
      <c r="D12" s="398"/>
      <c r="E12" s="399"/>
      <c r="F12" s="400" t="s">
        <v>318</v>
      </c>
      <c r="G12" s="401">
        <f>SUM(G13+G14+G16+G17)</f>
        <v>17595248</v>
      </c>
      <c r="H12" s="401">
        <f>SUM(H13+H14+H16+H17)</f>
        <v>19194219</v>
      </c>
      <c r="I12" s="401">
        <f>SUM(I13+I14+I16+I17)</f>
        <v>19194211</v>
      </c>
      <c r="J12" s="402">
        <f t="shared" si="0"/>
        <v>99.999958320783975</v>
      </c>
    </row>
    <row r="13" spans="1:10" ht="18.95" customHeight="1" x14ac:dyDescent="0.25">
      <c r="A13" s="403" t="s">
        <v>315</v>
      </c>
      <c r="B13" s="397"/>
      <c r="C13" s="398"/>
      <c r="D13" s="404" t="s">
        <v>319</v>
      </c>
      <c r="E13" s="405"/>
      <c r="F13" s="406" t="s">
        <v>320</v>
      </c>
      <c r="G13" s="407">
        <v>15663825</v>
      </c>
      <c r="H13" s="407">
        <v>15150131</v>
      </c>
      <c r="I13" s="407">
        <v>15150125</v>
      </c>
      <c r="J13" s="408">
        <f t="shared" si="0"/>
        <v>99.99996039638205</v>
      </c>
    </row>
    <row r="14" spans="1:10" ht="18.95" customHeight="1" x14ac:dyDescent="0.25">
      <c r="A14" s="403" t="s">
        <v>315</v>
      </c>
      <c r="B14" s="397"/>
      <c r="C14" s="398"/>
      <c r="D14" s="404" t="s">
        <v>321</v>
      </c>
      <c r="E14" s="405"/>
      <c r="F14" s="406" t="s">
        <v>322</v>
      </c>
      <c r="G14" s="407">
        <f>SUM(G15:G15)</f>
        <v>145200</v>
      </c>
      <c r="H14" s="407">
        <f>SUM(H15:H15)</f>
        <v>180314</v>
      </c>
      <c r="I14" s="407">
        <f>SUM(I15:I15)</f>
        <v>180313</v>
      </c>
      <c r="J14" s="408">
        <f t="shared" si="0"/>
        <v>99.99944541189258</v>
      </c>
    </row>
    <row r="15" spans="1:10" ht="18.95" customHeight="1" x14ac:dyDescent="0.2">
      <c r="A15" s="409" t="s">
        <v>315</v>
      </c>
      <c r="B15" s="410"/>
      <c r="C15" s="411"/>
      <c r="D15" s="412"/>
      <c r="E15" s="413" t="s">
        <v>323</v>
      </c>
      <c r="F15" s="414" t="s">
        <v>324</v>
      </c>
      <c r="G15" s="415">
        <v>145200</v>
      </c>
      <c r="H15" s="415">
        <v>180314</v>
      </c>
      <c r="I15" s="415">
        <v>180313</v>
      </c>
      <c r="J15" s="416">
        <f t="shared" si="0"/>
        <v>99.99944541189258</v>
      </c>
    </row>
    <row r="16" spans="1:10" ht="18.95" customHeight="1" x14ac:dyDescent="0.25">
      <c r="A16" s="403" t="s">
        <v>315</v>
      </c>
      <c r="B16" s="397"/>
      <c r="C16" s="398"/>
      <c r="D16" s="404" t="s">
        <v>325</v>
      </c>
      <c r="E16" s="405"/>
      <c r="F16" s="406" t="s">
        <v>326</v>
      </c>
      <c r="G16" s="407">
        <v>3600</v>
      </c>
      <c r="H16" s="407">
        <v>3370</v>
      </c>
      <c r="I16" s="407">
        <v>3370</v>
      </c>
      <c r="J16" s="408">
        <f t="shared" si="0"/>
        <v>100</v>
      </c>
    </row>
    <row r="17" spans="1:10" ht="18.95" customHeight="1" x14ac:dyDescent="0.25">
      <c r="A17" s="403" t="s">
        <v>315</v>
      </c>
      <c r="B17" s="397"/>
      <c r="C17" s="398"/>
      <c r="D17" s="404" t="s">
        <v>327</v>
      </c>
      <c r="E17" s="405"/>
      <c r="F17" s="406" t="s">
        <v>328</v>
      </c>
      <c r="G17" s="407">
        <v>1782623</v>
      </c>
      <c r="H17" s="407">
        <v>3860404</v>
      </c>
      <c r="I17" s="407">
        <v>3860403</v>
      </c>
      <c r="J17" s="408">
        <f t="shared" si="0"/>
        <v>99.999974095975446</v>
      </c>
    </row>
    <row r="18" spans="1:10" ht="18.95" customHeight="1" x14ac:dyDescent="0.25">
      <c r="A18" s="396" t="s">
        <v>315</v>
      </c>
      <c r="B18" s="417"/>
      <c r="C18" s="418" t="s">
        <v>329</v>
      </c>
      <c r="D18" s="418"/>
      <c r="E18" s="419"/>
      <c r="F18" s="420" t="s">
        <v>330</v>
      </c>
      <c r="G18" s="421">
        <v>6898562</v>
      </c>
      <c r="H18" s="421">
        <v>7600203</v>
      </c>
      <c r="I18" s="422">
        <f>7363718+13241</f>
        <v>7376959</v>
      </c>
      <c r="J18" s="402">
        <f t="shared" si="0"/>
        <v>97.062657405335102</v>
      </c>
    </row>
    <row r="19" spans="1:10" ht="18.95" customHeight="1" x14ac:dyDescent="0.25">
      <c r="A19" s="396" t="s">
        <v>315</v>
      </c>
      <c r="B19" s="417"/>
      <c r="C19" s="432" t="s">
        <v>353</v>
      </c>
      <c r="D19" s="418"/>
      <c r="E19" s="433"/>
      <c r="F19" s="420" t="s">
        <v>354</v>
      </c>
      <c r="G19" s="434">
        <f>SUM(G20+G23+G28+G38+G50+G44+G53)</f>
        <v>19044726</v>
      </c>
      <c r="H19" s="434">
        <f>SUM(H20+H23+H28+H38+H50+H44+H53)</f>
        <v>28938938</v>
      </c>
      <c r="I19" s="435">
        <f>SUM(I20+I23+I28+I38+I50+I44+I53)</f>
        <v>28257121</v>
      </c>
      <c r="J19" s="402">
        <f t="shared" si="0"/>
        <v>97.643946021792502</v>
      </c>
    </row>
    <row r="20" spans="1:10" ht="18.95" customHeight="1" x14ac:dyDescent="0.2">
      <c r="A20" s="403" t="s">
        <v>315</v>
      </c>
      <c r="B20" s="436"/>
      <c r="C20" s="437"/>
      <c r="D20" s="404" t="s">
        <v>355</v>
      </c>
      <c r="E20" s="438"/>
      <c r="F20" s="406" t="s">
        <v>356</v>
      </c>
      <c r="G20" s="439">
        <f>SUM(G21:G22)</f>
        <v>62085</v>
      </c>
      <c r="H20" s="439">
        <f>SUM(H21:H22)</f>
        <v>52085</v>
      </c>
      <c r="I20" s="439">
        <f>SUM(I21:I22)</f>
        <v>36887</v>
      </c>
      <c r="J20" s="408">
        <f t="shared" si="0"/>
        <v>70.820773735240465</v>
      </c>
    </row>
    <row r="21" spans="1:10" ht="18.95" customHeight="1" x14ac:dyDescent="0.2">
      <c r="A21" s="409" t="s">
        <v>315</v>
      </c>
      <c r="B21" s="436"/>
      <c r="C21" s="440"/>
      <c r="D21" s="441"/>
      <c r="E21" s="442">
        <v>631001</v>
      </c>
      <c r="F21" s="443" t="s">
        <v>357</v>
      </c>
      <c r="G21" s="444">
        <v>42085</v>
      </c>
      <c r="H21" s="444">
        <v>32085</v>
      </c>
      <c r="I21" s="444">
        <f>30571+57</f>
        <v>30628</v>
      </c>
      <c r="J21" s="416">
        <f t="shared" si="0"/>
        <v>95.45893719806763</v>
      </c>
    </row>
    <row r="22" spans="1:10" ht="18.95" customHeight="1" x14ac:dyDescent="0.2">
      <c r="A22" s="409" t="s">
        <v>315</v>
      </c>
      <c r="B22" s="436"/>
      <c r="C22" s="440"/>
      <c r="D22" s="441"/>
      <c r="E22" s="442">
        <v>631002</v>
      </c>
      <c r="F22" s="443" t="s">
        <v>358</v>
      </c>
      <c r="G22" s="444">
        <v>20000</v>
      </c>
      <c r="H22" s="444">
        <v>20000</v>
      </c>
      <c r="I22" s="444">
        <v>6259</v>
      </c>
      <c r="J22" s="416">
        <f t="shared" si="0"/>
        <v>31.295000000000002</v>
      </c>
    </row>
    <row r="23" spans="1:10" ht="18.95" customHeight="1" x14ac:dyDescent="0.2">
      <c r="A23" s="403" t="s">
        <v>315</v>
      </c>
      <c r="B23" s="436"/>
      <c r="C23" s="437"/>
      <c r="D23" s="404" t="s">
        <v>360</v>
      </c>
      <c r="E23" s="438"/>
      <c r="F23" s="406" t="s">
        <v>361</v>
      </c>
      <c r="G23" s="439">
        <f>SUM(G24:G27)</f>
        <v>5849355</v>
      </c>
      <c r="H23" s="439">
        <f>SUM(H24:H27)</f>
        <v>7758929</v>
      </c>
      <c r="I23" s="439">
        <f>SUM(I24:I27)</f>
        <v>7597256</v>
      </c>
      <c r="J23" s="408">
        <f t="shared" si="0"/>
        <v>97.916297468374822</v>
      </c>
    </row>
    <row r="24" spans="1:10" ht="18.95" customHeight="1" x14ac:dyDescent="0.2">
      <c r="A24" s="409" t="s">
        <v>315</v>
      </c>
      <c r="B24" s="436"/>
      <c r="C24" s="437"/>
      <c r="D24" s="445"/>
      <c r="E24" s="446">
        <v>632001</v>
      </c>
      <c r="F24" s="447" t="s">
        <v>362</v>
      </c>
      <c r="G24" s="444">
        <v>633195</v>
      </c>
      <c r="H24" s="444">
        <v>611721</v>
      </c>
      <c r="I24" s="444">
        <f>507650+4451</f>
        <v>512101</v>
      </c>
      <c r="J24" s="416">
        <f t="shared" si="0"/>
        <v>83.71479808605558</v>
      </c>
    </row>
    <row r="25" spans="1:10" ht="18.95" customHeight="1" x14ac:dyDescent="0.2">
      <c r="A25" s="409" t="s">
        <v>315</v>
      </c>
      <c r="B25" s="436"/>
      <c r="C25" s="437"/>
      <c r="D25" s="445"/>
      <c r="E25" s="446">
        <v>632002</v>
      </c>
      <c r="F25" s="447" t="s">
        <v>363</v>
      </c>
      <c r="G25" s="444">
        <v>70050</v>
      </c>
      <c r="H25" s="444">
        <v>76124</v>
      </c>
      <c r="I25" s="444">
        <f>63278+724</f>
        <v>64002</v>
      </c>
      <c r="J25" s="416">
        <f t="shared" si="0"/>
        <v>84.075981293678737</v>
      </c>
    </row>
    <row r="26" spans="1:10" ht="18.95" customHeight="1" x14ac:dyDescent="0.2">
      <c r="A26" s="409" t="s">
        <v>315</v>
      </c>
      <c r="B26" s="436"/>
      <c r="C26" s="437"/>
      <c r="D26" s="445"/>
      <c r="E26" s="446">
        <v>632003</v>
      </c>
      <c r="F26" s="448" t="s">
        <v>364</v>
      </c>
      <c r="G26" s="444">
        <v>3804360</v>
      </c>
      <c r="H26" s="444">
        <v>5320952</v>
      </c>
      <c r="I26" s="444">
        <f>5181984+89038</f>
        <v>5271022</v>
      </c>
      <c r="J26" s="416">
        <f t="shared" si="0"/>
        <v>99.061634083524908</v>
      </c>
    </row>
    <row r="27" spans="1:10" ht="18.95" customHeight="1" x14ac:dyDescent="0.2">
      <c r="A27" s="409" t="s">
        <v>315</v>
      </c>
      <c r="B27" s="436"/>
      <c r="C27" s="437"/>
      <c r="D27" s="445"/>
      <c r="E27" s="446">
        <v>632004</v>
      </c>
      <c r="F27" s="448" t="s">
        <v>365</v>
      </c>
      <c r="G27" s="444">
        <v>1341750</v>
      </c>
      <c r="H27" s="444">
        <v>1750132</v>
      </c>
      <c r="I27" s="444">
        <v>1750131</v>
      </c>
      <c r="J27" s="416">
        <f t="shared" si="0"/>
        <v>99.999942861452737</v>
      </c>
    </row>
    <row r="28" spans="1:10" ht="18.95" customHeight="1" x14ac:dyDescent="0.2">
      <c r="A28" s="403" t="s">
        <v>315</v>
      </c>
      <c r="B28" s="436"/>
      <c r="C28" s="437"/>
      <c r="D28" s="404" t="s">
        <v>366</v>
      </c>
      <c r="E28" s="438"/>
      <c r="F28" s="406" t="s">
        <v>367</v>
      </c>
      <c r="G28" s="439">
        <f>SUM(G29:G37)</f>
        <v>447849</v>
      </c>
      <c r="H28" s="439">
        <f>SUM(H29:H37)</f>
        <v>971969</v>
      </c>
      <c r="I28" s="439">
        <f>SUM(I29:I37)</f>
        <v>922629</v>
      </c>
      <c r="J28" s="408">
        <f t="shared" si="0"/>
        <v>94.923706414504991</v>
      </c>
    </row>
    <row r="29" spans="1:10" ht="18.95" customHeight="1" x14ac:dyDescent="0.2">
      <c r="A29" s="409" t="s">
        <v>315</v>
      </c>
      <c r="B29" s="436"/>
      <c r="C29" s="437"/>
      <c r="D29" s="449"/>
      <c r="E29" s="450" t="s">
        <v>368</v>
      </c>
      <c r="F29" s="451" t="s">
        <v>369</v>
      </c>
      <c r="G29" s="427">
        <v>15705</v>
      </c>
      <c r="H29" s="427">
        <v>74507</v>
      </c>
      <c r="I29" s="427">
        <v>52539</v>
      </c>
      <c r="J29" s="416">
        <f t="shared" si="0"/>
        <v>70.515522031486981</v>
      </c>
    </row>
    <row r="30" spans="1:10" ht="18.95" customHeight="1" x14ac:dyDescent="0.2">
      <c r="A30" s="409" t="s">
        <v>315</v>
      </c>
      <c r="B30" s="436"/>
      <c r="C30" s="437"/>
      <c r="D30" s="449"/>
      <c r="E30" s="450" t="s">
        <v>370</v>
      </c>
      <c r="F30" s="451" t="s">
        <v>371</v>
      </c>
      <c r="G30" s="427">
        <v>0</v>
      </c>
      <c r="H30" s="427">
        <v>20988</v>
      </c>
      <c r="I30" s="427">
        <v>20987</v>
      </c>
      <c r="J30" s="416">
        <f t="shared" si="0"/>
        <v>99.995235372593854</v>
      </c>
    </row>
    <row r="31" spans="1:10" ht="18.95" customHeight="1" x14ac:dyDescent="0.2">
      <c r="A31" s="409" t="s">
        <v>315</v>
      </c>
      <c r="B31" s="436"/>
      <c r="C31" s="437"/>
      <c r="D31" s="449"/>
      <c r="E31" s="450" t="s">
        <v>372</v>
      </c>
      <c r="F31" s="451" t="s">
        <v>373</v>
      </c>
      <c r="G31" s="427">
        <v>600</v>
      </c>
      <c r="H31" s="427">
        <v>48420</v>
      </c>
      <c r="I31" s="427">
        <v>48303</v>
      </c>
      <c r="J31" s="416">
        <f t="shared" si="0"/>
        <v>99.758364312267659</v>
      </c>
    </row>
    <row r="32" spans="1:10" ht="18.95" customHeight="1" x14ac:dyDescent="0.2">
      <c r="A32" s="409" t="s">
        <v>315</v>
      </c>
      <c r="B32" s="436"/>
      <c r="C32" s="437"/>
      <c r="D32" s="449"/>
      <c r="E32" s="450" t="s">
        <v>374</v>
      </c>
      <c r="F32" s="451" t="s">
        <v>375</v>
      </c>
      <c r="G32" s="427">
        <v>5569</v>
      </c>
      <c r="H32" s="427">
        <v>7669</v>
      </c>
      <c r="I32" s="427">
        <v>2865</v>
      </c>
      <c r="J32" s="416">
        <f t="shared" si="0"/>
        <v>37.358195331855519</v>
      </c>
    </row>
    <row r="33" spans="1:10" ht="18.95" customHeight="1" x14ac:dyDescent="0.2">
      <c r="A33" s="409" t="s">
        <v>315</v>
      </c>
      <c r="B33" s="436"/>
      <c r="C33" s="437"/>
      <c r="D33" s="449"/>
      <c r="E33" s="450" t="s">
        <v>376</v>
      </c>
      <c r="F33" s="451" t="s">
        <v>377</v>
      </c>
      <c r="G33" s="427">
        <v>382850</v>
      </c>
      <c r="H33" s="427">
        <v>656781</v>
      </c>
      <c r="I33" s="427">
        <f>644757+2881</f>
        <v>647638</v>
      </c>
      <c r="J33" s="416">
        <f t="shared" si="0"/>
        <v>98.607907354201785</v>
      </c>
    </row>
    <row r="34" spans="1:10" ht="18.95" customHeight="1" x14ac:dyDescent="0.2">
      <c r="A34" s="409" t="s">
        <v>315</v>
      </c>
      <c r="B34" s="436"/>
      <c r="C34" s="437"/>
      <c r="D34" s="449"/>
      <c r="E34" s="450" t="s">
        <v>378</v>
      </c>
      <c r="F34" s="451" t="s">
        <v>379</v>
      </c>
      <c r="G34" s="427">
        <v>11000</v>
      </c>
      <c r="H34" s="427">
        <v>11000</v>
      </c>
      <c r="I34" s="427">
        <f>5605+3399</f>
        <v>9004</v>
      </c>
      <c r="J34" s="416">
        <f t="shared" si="0"/>
        <v>81.854545454545459</v>
      </c>
    </row>
    <row r="35" spans="1:10" ht="18.95" customHeight="1" x14ac:dyDescent="0.2">
      <c r="A35" s="409" t="s">
        <v>315</v>
      </c>
      <c r="B35" s="436"/>
      <c r="C35" s="437"/>
      <c r="D35" s="449"/>
      <c r="E35" s="450" t="s">
        <v>380</v>
      </c>
      <c r="F35" s="451" t="s">
        <v>381</v>
      </c>
      <c r="G35" s="427">
        <v>9425</v>
      </c>
      <c r="H35" s="427">
        <v>15825</v>
      </c>
      <c r="I35" s="427">
        <v>9911</v>
      </c>
      <c r="J35" s="416">
        <f t="shared" si="0"/>
        <v>62.628751974723542</v>
      </c>
    </row>
    <row r="36" spans="1:10" ht="18.95" customHeight="1" x14ac:dyDescent="0.2">
      <c r="A36" s="409" t="s">
        <v>315</v>
      </c>
      <c r="B36" s="436"/>
      <c r="C36" s="437"/>
      <c r="D36" s="449"/>
      <c r="E36" s="450" t="s">
        <v>382</v>
      </c>
      <c r="F36" s="451" t="s">
        <v>383</v>
      </c>
      <c r="G36" s="427">
        <v>10000</v>
      </c>
      <c r="H36" s="427">
        <v>124079</v>
      </c>
      <c r="I36" s="427">
        <v>124079</v>
      </c>
      <c r="J36" s="416">
        <f t="shared" si="0"/>
        <v>100</v>
      </c>
    </row>
    <row r="37" spans="1:10" ht="18.95" customHeight="1" x14ac:dyDescent="0.2">
      <c r="A37" s="409" t="s">
        <v>315</v>
      </c>
      <c r="B37" s="436"/>
      <c r="C37" s="437"/>
      <c r="D37" s="449"/>
      <c r="E37" s="450" t="s">
        <v>384</v>
      </c>
      <c r="F37" s="451" t="s">
        <v>385</v>
      </c>
      <c r="G37" s="427">
        <v>12700</v>
      </c>
      <c r="H37" s="427">
        <v>12700</v>
      </c>
      <c r="I37" s="427">
        <v>7303</v>
      </c>
      <c r="J37" s="416">
        <f t="shared" si="0"/>
        <v>57.503937007874015</v>
      </c>
    </row>
    <row r="38" spans="1:10" ht="18.95" customHeight="1" x14ac:dyDescent="0.2">
      <c r="A38" s="403" t="s">
        <v>315</v>
      </c>
      <c r="B38" s="436"/>
      <c r="C38" s="437"/>
      <c r="D38" s="404" t="s">
        <v>386</v>
      </c>
      <c r="E38" s="438"/>
      <c r="F38" s="406" t="s">
        <v>387</v>
      </c>
      <c r="G38" s="439">
        <f>SUM(G39:G43)</f>
        <v>105896</v>
      </c>
      <c r="H38" s="439">
        <f>SUM(H39:H43)</f>
        <v>141855</v>
      </c>
      <c r="I38" s="439">
        <f>SUM(I39:I43)</f>
        <v>112352</v>
      </c>
      <c r="J38" s="408">
        <f t="shared" si="0"/>
        <v>79.202002044341057</v>
      </c>
    </row>
    <row r="39" spans="1:10" ht="18.95" customHeight="1" x14ac:dyDescent="0.2">
      <c r="A39" s="409" t="s">
        <v>315</v>
      </c>
      <c r="B39" s="436"/>
      <c r="C39" s="437"/>
      <c r="D39" s="445"/>
      <c r="E39" s="446">
        <v>634001</v>
      </c>
      <c r="F39" s="452" t="s">
        <v>388</v>
      </c>
      <c r="G39" s="444">
        <v>80950</v>
      </c>
      <c r="H39" s="444">
        <v>72756</v>
      </c>
      <c r="I39" s="444">
        <f>54008+319</f>
        <v>54327</v>
      </c>
      <c r="J39" s="416">
        <f t="shared" si="0"/>
        <v>74.670130298532072</v>
      </c>
    </row>
    <row r="40" spans="1:10" ht="18.95" customHeight="1" x14ac:dyDescent="0.2">
      <c r="A40" s="409" t="s">
        <v>315</v>
      </c>
      <c r="B40" s="436"/>
      <c r="C40" s="437"/>
      <c r="D40" s="445"/>
      <c r="E40" s="446">
        <v>634002</v>
      </c>
      <c r="F40" s="452" t="s">
        <v>389</v>
      </c>
      <c r="G40" s="444">
        <v>11874</v>
      </c>
      <c r="H40" s="444">
        <v>35062</v>
      </c>
      <c r="I40" s="444">
        <v>33407</v>
      </c>
      <c r="J40" s="416">
        <f t="shared" si="0"/>
        <v>95.279790086133133</v>
      </c>
    </row>
    <row r="41" spans="1:10" ht="18.95" customHeight="1" x14ac:dyDescent="0.2">
      <c r="A41" s="409" t="s">
        <v>315</v>
      </c>
      <c r="B41" s="436"/>
      <c r="C41" s="437"/>
      <c r="D41" s="453"/>
      <c r="E41" s="454" t="s">
        <v>390</v>
      </c>
      <c r="F41" s="451" t="s">
        <v>391</v>
      </c>
      <c r="G41" s="444">
        <v>11072</v>
      </c>
      <c r="H41" s="444">
        <v>12037</v>
      </c>
      <c r="I41" s="444">
        <v>11337</v>
      </c>
      <c r="J41" s="416">
        <f t="shared" si="0"/>
        <v>94.184597491069198</v>
      </c>
    </row>
    <row r="42" spans="1:10" ht="18.95" customHeight="1" x14ac:dyDescent="0.2">
      <c r="A42" s="409" t="s">
        <v>315</v>
      </c>
      <c r="B42" s="436"/>
      <c r="C42" s="437"/>
      <c r="D42" s="453"/>
      <c r="E42" s="446">
        <v>634004</v>
      </c>
      <c r="F42" s="455" t="s">
        <v>392</v>
      </c>
      <c r="G42" s="444">
        <v>500</v>
      </c>
      <c r="H42" s="444">
        <v>20500</v>
      </c>
      <c r="I42" s="444">
        <v>12311</v>
      </c>
      <c r="J42" s="416">
        <f t="shared" si="0"/>
        <v>60.053658536585367</v>
      </c>
    </row>
    <row r="43" spans="1:10" ht="18.95" customHeight="1" x14ac:dyDescent="0.2">
      <c r="A43" s="409" t="s">
        <v>315</v>
      </c>
      <c r="B43" s="436"/>
      <c r="C43" s="437"/>
      <c r="D43" s="453"/>
      <c r="E43" s="446">
        <v>634005</v>
      </c>
      <c r="F43" s="455" t="s">
        <v>393</v>
      </c>
      <c r="G43" s="444">
        <v>1500</v>
      </c>
      <c r="H43" s="444">
        <v>1500</v>
      </c>
      <c r="I43" s="444">
        <v>970</v>
      </c>
      <c r="J43" s="416">
        <f t="shared" si="0"/>
        <v>64.666666666666657</v>
      </c>
    </row>
    <row r="44" spans="1:10" ht="18.95" customHeight="1" x14ac:dyDescent="0.2">
      <c r="A44" s="403" t="s">
        <v>315</v>
      </c>
      <c r="B44" s="436"/>
      <c r="C44" s="437"/>
      <c r="D44" s="404" t="s">
        <v>394</v>
      </c>
      <c r="E44" s="456"/>
      <c r="F44" s="406" t="s">
        <v>395</v>
      </c>
      <c r="G44" s="439">
        <f>SUM(G45:G49)</f>
        <v>9573973</v>
      </c>
      <c r="H44" s="439">
        <f>SUM(H45:H49)</f>
        <v>14719784</v>
      </c>
      <c r="I44" s="439">
        <f>SUM(I45:I49)</f>
        <v>14686461</v>
      </c>
      <c r="J44" s="408">
        <f t="shared" si="0"/>
        <v>99.773617601997415</v>
      </c>
    </row>
    <row r="45" spans="1:10" ht="18.95" customHeight="1" x14ac:dyDescent="0.2">
      <c r="A45" s="409" t="s">
        <v>315</v>
      </c>
      <c r="B45" s="436"/>
      <c r="C45" s="437"/>
      <c r="D45" s="445"/>
      <c r="E45" s="446">
        <v>635001</v>
      </c>
      <c r="F45" s="455" t="s">
        <v>396</v>
      </c>
      <c r="G45" s="444">
        <v>15000</v>
      </c>
      <c r="H45" s="444">
        <v>14800</v>
      </c>
      <c r="I45" s="444">
        <v>12595</v>
      </c>
      <c r="J45" s="457">
        <f t="shared" si="0"/>
        <v>85.101351351351354</v>
      </c>
    </row>
    <row r="46" spans="1:10" ht="18.95" customHeight="1" x14ac:dyDescent="0.2">
      <c r="A46" s="409" t="s">
        <v>315</v>
      </c>
      <c r="B46" s="436"/>
      <c r="C46" s="437"/>
      <c r="D46" s="445"/>
      <c r="E46" s="446">
        <v>635002</v>
      </c>
      <c r="F46" s="455" t="s">
        <v>397</v>
      </c>
      <c r="G46" s="444">
        <v>9481296</v>
      </c>
      <c r="H46" s="444">
        <v>14560987</v>
      </c>
      <c r="I46" s="444">
        <f>14228146+342486-9000</f>
        <v>14561632</v>
      </c>
      <c r="J46" s="457">
        <f t="shared" si="0"/>
        <v>100.00442964477614</v>
      </c>
    </row>
    <row r="47" spans="1:10" ht="18.95" customHeight="1" x14ac:dyDescent="0.2">
      <c r="A47" s="409" t="s">
        <v>315</v>
      </c>
      <c r="B47" s="436"/>
      <c r="C47" s="437"/>
      <c r="D47" s="445"/>
      <c r="E47" s="446">
        <v>635003</v>
      </c>
      <c r="F47" s="455" t="s">
        <v>398</v>
      </c>
      <c r="G47" s="444">
        <v>2250</v>
      </c>
      <c r="H47" s="444">
        <v>3000</v>
      </c>
      <c r="I47" s="444">
        <f>1665+1335</f>
        <v>3000</v>
      </c>
      <c r="J47" s="457">
        <f t="shared" si="0"/>
        <v>100</v>
      </c>
    </row>
    <row r="48" spans="1:10" ht="18.95" customHeight="1" x14ac:dyDescent="0.2">
      <c r="A48" s="409" t="s">
        <v>315</v>
      </c>
      <c r="B48" s="436"/>
      <c r="C48" s="437"/>
      <c r="D48" s="445"/>
      <c r="E48" s="446">
        <v>635004</v>
      </c>
      <c r="F48" s="455" t="s">
        <v>399</v>
      </c>
      <c r="G48" s="444">
        <v>35550</v>
      </c>
      <c r="H48" s="444">
        <v>61950</v>
      </c>
      <c r="I48" s="444">
        <f>39163+7665</f>
        <v>46828</v>
      </c>
      <c r="J48" s="457">
        <f t="shared" si="0"/>
        <v>75.589991928974982</v>
      </c>
    </row>
    <row r="49" spans="1:10" ht="18.95" customHeight="1" x14ac:dyDescent="0.2">
      <c r="A49" s="409" t="s">
        <v>315</v>
      </c>
      <c r="B49" s="436"/>
      <c r="C49" s="437"/>
      <c r="D49" s="445"/>
      <c r="E49" s="446">
        <v>635006</v>
      </c>
      <c r="F49" s="452" t="s">
        <v>400</v>
      </c>
      <c r="G49" s="444">
        <v>39877</v>
      </c>
      <c r="H49" s="444">
        <v>79047</v>
      </c>
      <c r="I49" s="444">
        <v>62406</v>
      </c>
      <c r="J49" s="457">
        <f t="shared" si="0"/>
        <v>78.947967664807024</v>
      </c>
    </row>
    <row r="50" spans="1:10" ht="18.95" customHeight="1" x14ac:dyDescent="0.2">
      <c r="A50" s="403" t="s">
        <v>315</v>
      </c>
      <c r="B50" s="436"/>
      <c r="C50" s="437"/>
      <c r="D50" s="404" t="s">
        <v>401</v>
      </c>
      <c r="E50" s="438"/>
      <c r="F50" s="406" t="s">
        <v>402</v>
      </c>
      <c r="G50" s="439">
        <f>SUM(G51:G52)</f>
        <v>276000</v>
      </c>
      <c r="H50" s="439">
        <f>SUM(H51:H52)</f>
        <v>556643</v>
      </c>
      <c r="I50" s="439">
        <f>SUM(I51:I52)</f>
        <v>556643</v>
      </c>
      <c r="J50" s="408">
        <f t="shared" si="0"/>
        <v>100</v>
      </c>
    </row>
    <row r="51" spans="1:10" ht="18.95" customHeight="1" x14ac:dyDescent="0.2">
      <c r="A51" s="409" t="s">
        <v>315</v>
      </c>
      <c r="B51" s="436"/>
      <c r="C51" s="437"/>
      <c r="D51" s="458"/>
      <c r="E51" s="446">
        <v>636001</v>
      </c>
      <c r="F51" s="459" t="s">
        <v>403</v>
      </c>
      <c r="G51" s="444">
        <v>274000</v>
      </c>
      <c r="H51" s="444">
        <v>554601</v>
      </c>
      <c r="I51" s="444">
        <f>534081+20520</f>
        <v>554601</v>
      </c>
      <c r="J51" s="416">
        <f t="shared" si="0"/>
        <v>100</v>
      </c>
    </row>
    <row r="52" spans="1:10" ht="18" customHeight="1" x14ac:dyDescent="0.2">
      <c r="A52" s="409" t="s">
        <v>315</v>
      </c>
      <c r="B52" s="436"/>
      <c r="C52" s="437"/>
      <c r="D52" s="458"/>
      <c r="E52" s="446">
        <v>636002</v>
      </c>
      <c r="F52" s="459" t="s">
        <v>404</v>
      </c>
      <c r="G52" s="444">
        <v>2000</v>
      </c>
      <c r="H52" s="444">
        <v>2042</v>
      </c>
      <c r="I52" s="444">
        <v>2042</v>
      </c>
      <c r="J52" s="416">
        <f t="shared" si="0"/>
        <v>100</v>
      </c>
    </row>
    <row r="53" spans="1:10" ht="18.95" customHeight="1" x14ac:dyDescent="0.2">
      <c r="A53" s="403" t="s">
        <v>315</v>
      </c>
      <c r="B53" s="436"/>
      <c r="C53" s="437"/>
      <c r="D53" s="404" t="s">
        <v>405</v>
      </c>
      <c r="E53" s="438"/>
      <c r="F53" s="406" t="s">
        <v>406</v>
      </c>
      <c r="G53" s="439">
        <f>SUM(G54:G70)</f>
        <v>2729568</v>
      </c>
      <c r="H53" s="439">
        <f>SUM(H54:H70)</f>
        <v>4737673</v>
      </c>
      <c r="I53" s="439">
        <f>SUM(I54:I70)</f>
        <v>4344893</v>
      </c>
      <c r="J53" s="408">
        <f t="shared" si="0"/>
        <v>91.709432035516173</v>
      </c>
    </row>
    <row r="54" spans="1:10" ht="18.95" customHeight="1" x14ac:dyDescent="0.2">
      <c r="A54" s="409" t="s">
        <v>315</v>
      </c>
      <c r="B54" s="436"/>
      <c r="C54" s="437"/>
      <c r="D54" s="449"/>
      <c r="E54" s="450" t="s">
        <v>407</v>
      </c>
      <c r="F54" s="451" t="s">
        <v>408</v>
      </c>
      <c r="G54" s="444">
        <v>20070</v>
      </c>
      <c r="H54" s="444">
        <v>30070</v>
      </c>
      <c r="I54" s="444">
        <v>20189</v>
      </c>
      <c r="J54" s="457">
        <f t="shared" si="0"/>
        <v>67.140006651147317</v>
      </c>
    </row>
    <row r="55" spans="1:10" ht="18.95" customHeight="1" x14ac:dyDescent="0.2">
      <c r="A55" s="409" t="s">
        <v>315</v>
      </c>
      <c r="B55" s="436"/>
      <c r="C55" s="437"/>
      <c r="D55" s="449"/>
      <c r="E55" s="450" t="s">
        <v>409</v>
      </c>
      <c r="F55" s="451" t="s">
        <v>410</v>
      </c>
      <c r="G55" s="444">
        <v>7750</v>
      </c>
      <c r="H55" s="444">
        <v>7750</v>
      </c>
      <c r="I55" s="444">
        <v>6078</v>
      </c>
      <c r="J55" s="457">
        <f t="shared" si="0"/>
        <v>78.4258064516129</v>
      </c>
    </row>
    <row r="56" spans="1:10" ht="18.95" customHeight="1" x14ac:dyDescent="0.2">
      <c r="A56" s="409" t="s">
        <v>315</v>
      </c>
      <c r="B56" s="436"/>
      <c r="C56" s="437"/>
      <c r="D56" s="449"/>
      <c r="E56" s="450" t="s">
        <v>411</v>
      </c>
      <c r="F56" s="451" t="s">
        <v>412</v>
      </c>
      <c r="G56" s="444">
        <v>465254</v>
      </c>
      <c r="H56" s="444">
        <v>849469</v>
      </c>
      <c r="I56" s="444">
        <f>507312+187942</f>
        <v>695254</v>
      </c>
      <c r="J56" s="457">
        <f t="shared" si="0"/>
        <v>81.845717736609586</v>
      </c>
    </row>
    <row r="57" spans="1:10" ht="18.95" customHeight="1" x14ac:dyDescent="0.2">
      <c r="A57" s="409" t="s">
        <v>315</v>
      </c>
      <c r="B57" s="436"/>
      <c r="C57" s="437"/>
      <c r="D57" s="449"/>
      <c r="E57" s="450" t="s">
        <v>413</v>
      </c>
      <c r="F57" s="451" t="s">
        <v>414</v>
      </c>
      <c r="G57" s="444">
        <v>165430</v>
      </c>
      <c r="H57" s="444">
        <v>255859</v>
      </c>
      <c r="I57" s="444">
        <v>251053</v>
      </c>
      <c r="J57" s="457">
        <f t="shared" si="0"/>
        <v>98.121621674437876</v>
      </c>
    </row>
    <row r="58" spans="1:10" ht="18.95" customHeight="1" x14ac:dyDescent="0.2">
      <c r="A58" s="409" t="s">
        <v>315</v>
      </c>
      <c r="B58" s="436"/>
      <c r="C58" s="437"/>
      <c r="D58" s="449"/>
      <c r="E58" s="450" t="s">
        <v>415</v>
      </c>
      <c r="F58" s="451" t="s">
        <v>356</v>
      </c>
      <c r="G58" s="444">
        <v>170</v>
      </c>
      <c r="H58" s="444">
        <v>170</v>
      </c>
      <c r="I58" s="444">
        <v>56</v>
      </c>
      <c r="J58" s="457">
        <f t="shared" si="0"/>
        <v>32.941176470588232</v>
      </c>
    </row>
    <row r="59" spans="1:10" ht="18.95" customHeight="1" x14ac:dyDescent="0.2">
      <c r="A59" s="409" t="s">
        <v>315</v>
      </c>
      <c r="B59" s="436"/>
      <c r="C59" s="437"/>
      <c r="D59" s="449"/>
      <c r="E59" s="450" t="s">
        <v>416</v>
      </c>
      <c r="F59" s="451" t="s">
        <v>417</v>
      </c>
      <c r="G59" s="444">
        <v>1000</v>
      </c>
      <c r="H59" s="444">
        <v>25000</v>
      </c>
      <c r="I59" s="444">
        <v>1071</v>
      </c>
      <c r="J59" s="457">
        <f t="shared" si="0"/>
        <v>4.2840000000000007</v>
      </c>
    </row>
    <row r="60" spans="1:10" ht="18.95" customHeight="1" x14ac:dyDescent="0.2">
      <c r="A60" s="409" t="s">
        <v>315</v>
      </c>
      <c r="B60" s="436"/>
      <c r="C60" s="437"/>
      <c r="D60" s="449"/>
      <c r="E60" s="450" t="s">
        <v>418</v>
      </c>
      <c r="F60" s="451" t="s">
        <v>419</v>
      </c>
      <c r="G60" s="444">
        <v>769041</v>
      </c>
      <c r="H60" s="444">
        <v>1288098</v>
      </c>
      <c r="I60" s="444">
        <f>1245980+36825</f>
        <v>1282805</v>
      </c>
      <c r="J60" s="457">
        <f t="shared" si="0"/>
        <v>99.58908406037429</v>
      </c>
    </row>
    <row r="61" spans="1:10" ht="18.95" customHeight="1" x14ac:dyDescent="0.2">
      <c r="A61" s="409" t="s">
        <v>315</v>
      </c>
      <c r="B61" s="436"/>
      <c r="C61" s="437"/>
      <c r="D61" s="449"/>
      <c r="E61" s="450" t="s">
        <v>420</v>
      </c>
      <c r="F61" s="451" t="s">
        <v>421</v>
      </c>
      <c r="G61" s="444">
        <v>269992</v>
      </c>
      <c r="H61" s="444">
        <v>399992</v>
      </c>
      <c r="I61" s="444">
        <f>311486+21997</f>
        <v>333483</v>
      </c>
      <c r="J61" s="457">
        <f t="shared" si="0"/>
        <v>83.372417448348969</v>
      </c>
    </row>
    <row r="62" spans="1:10" ht="18.95" customHeight="1" x14ac:dyDescent="0.2">
      <c r="A62" s="409" t="s">
        <v>315</v>
      </c>
      <c r="B62" s="436"/>
      <c r="C62" s="437"/>
      <c r="D62" s="449"/>
      <c r="E62" s="450" t="s">
        <v>422</v>
      </c>
      <c r="F62" s="451" t="s">
        <v>423</v>
      </c>
      <c r="G62" s="444">
        <v>5630</v>
      </c>
      <c r="H62" s="444">
        <v>5630</v>
      </c>
      <c r="I62" s="444">
        <f>4929+623</f>
        <v>5552</v>
      </c>
      <c r="J62" s="457">
        <f t="shared" si="0"/>
        <v>98.614564831261092</v>
      </c>
    </row>
    <row r="63" spans="1:10" ht="18.95" customHeight="1" x14ac:dyDescent="0.2">
      <c r="A63" s="409" t="s">
        <v>315</v>
      </c>
      <c r="B63" s="436"/>
      <c r="C63" s="437"/>
      <c r="D63" s="449"/>
      <c r="E63" s="450" t="s">
        <v>424</v>
      </c>
      <c r="F63" s="451" t="s">
        <v>425</v>
      </c>
      <c r="G63" s="444">
        <v>226900</v>
      </c>
      <c r="H63" s="444">
        <v>226900</v>
      </c>
      <c r="I63" s="461">
        <v>223521</v>
      </c>
      <c r="J63" s="457">
        <f t="shared" si="0"/>
        <v>98.510797708241512</v>
      </c>
    </row>
    <row r="64" spans="1:10" ht="18.95" customHeight="1" x14ac:dyDescent="0.2">
      <c r="A64" s="409" t="s">
        <v>315</v>
      </c>
      <c r="B64" s="436"/>
      <c r="C64" s="437"/>
      <c r="D64" s="449"/>
      <c r="E64" s="450" t="s">
        <v>426</v>
      </c>
      <c r="F64" s="451" t="s">
        <v>427</v>
      </c>
      <c r="G64" s="444">
        <v>8250</v>
      </c>
      <c r="H64" s="444">
        <v>18250</v>
      </c>
      <c r="I64" s="444">
        <v>15464</v>
      </c>
      <c r="J64" s="457">
        <f t="shared" si="0"/>
        <v>84.734246575342468</v>
      </c>
    </row>
    <row r="65" spans="1:10" ht="18.95" customHeight="1" x14ac:dyDescent="0.2">
      <c r="A65" s="409" t="s">
        <v>315</v>
      </c>
      <c r="B65" s="436"/>
      <c r="C65" s="437"/>
      <c r="D65" s="449"/>
      <c r="E65" s="450" t="s">
        <v>428</v>
      </c>
      <c r="F65" s="451" t="s">
        <v>429</v>
      </c>
      <c r="G65" s="444">
        <v>89685</v>
      </c>
      <c r="H65" s="444">
        <v>90735</v>
      </c>
      <c r="I65" s="444">
        <v>87704</v>
      </c>
      <c r="J65" s="457">
        <f t="shared" si="0"/>
        <v>96.6595029481457</v>
      </c>
    </row>
    <row r="66" spans="1:10" ht="18.95" customHeight="1" x14ac:dyDescent="0.2">
      <c r="A66" s="409" t="s">
        <v>315</v>
      </c>
      <c r="B66" s="436"/>
      <c r="C66" s="437"/>
      <c r="D66" s="449"/>
      <c r="E66" s="450" t="s">
        <v>430</v>
      </c>
      <c r="F66" s="451" t="s">
        <v>431</v>
      </c>
      <c r="G66" s="444">
        <v>40000</v>
      </c>
      <c r="H66" s="444">
        <v>75000</v>
      </c>
      <c r="I66" s="444">
        <v>72328</v>
      </c>
      <c r="J66" s="457">
        <f t="shared" si="0"/>
        <v>96.437333333333328</v>
      </c>
    </row>
    <row r="67" spans="1:10" ht="18.95" customHeight="1" x14ac:dyDescent="0.2">
      <c r="A67" s="409" t="s">
        <v>432</v>
      </c>
      <c r="B67" s="436"/>
      <c r="C67" s="437"/>
      <c r="D67" s="449"/>
      <c r="E67" s="450" t="s">
        <v>433</v>
      </c>
      <c r="F67" s="451" t="s">
        <v>434</v>
      </c>
      <c r="G67" s="444">
        <v>0</v>
      </c>
      <c r="H67" s="444">
        <v>89111</v>
      </c>
      <c r="I67" s="444">
        <v>89110</v>
      </c>
      <c r="J67" s="457">
        <f t="shared" si="0"/>
        <v>99.998877804087044</v>
      </c>
    </row>
    <row r="68" spans="1:10" ht="18.75" customHeight="1" x14ac:dyDescent="0.2">
      <c r="A68" s="409" t="s">
        <v>315</v>
      </c>
      <c r="B68" s="436"/>
      <c r="C68" s="437"/>
      <c r="D68" s="449"/>
      <c r="E68" s="450" t="s">
        <v>435</v>
      </c>
      <c r="F68" s="451" t="s">
        <v>436</v>
      </c>
      <c r="G68" s="444">
        <v>70000</v>
      </c>
      <c r="H68" s="444">
        <v>214843</v>
      </c>
      <c r="I68" s="444">
        <v>191238</v>
      </c>
      <c r="J68" s="457">
        <f t="shared" si="0"/>
        <v>89.01290709960297</v>
      </c>
    </row>
    <row r="69" spans="1:10" ht="18.95" customHeight="1" x14ac:dyDescent="0.2">
      <c r="A69" s="409" t="s">
        <v>315</v>
      </c>
      <c r="B69" s="436"/>
      <c r="C69" s="437"/>
      <c r="D69" s="449"/>
      <c r="E69" s="450" t="s">
        <v>437</v>
      </c>
      <c r="F69" s="451" t="s">
        <v>438</v>
      </c>
      <c r="G69" s="444">
        <v>550300</v>
      </c>
      <c r="H69" s="444">
        <v>1120300</v>
      </c>
      <c r="I69" s="444">
        <v>1031173</v>
      </c>
      <c r="J69" s="457">
        <f t="shared" si="0"/>
        <v>92.044363117022215</v>
      </c>
    </row>
    <row r="70" spans="1:10" ht="18.95" customHeight="1" x14ac:dyDescent="0.2">
      <c r="A70" s="409" t="s">
        <v>315</v>
      </c>
      <c r="B70" s="436"/>
      <c r="C70" s="437"/>
      <c r="D70" s="449"/>
      <c r="E70" s="450" t="s">
        <v>439</v>
      </c>
      <c r="F70" s="451" t="s">
        <v>440</v>
      </c>
      <c r="G70" s="444">
        <v>40096</v>
      </c>
      <c r="H70" s="444">
        <v>40496</v>
      </c>
      <c r="I70" s="444">
        <v>38814</v>
      </c>
      <c r="J70" s="457">
        <f t="shared" si="0"/>
        <v>95.846503358356387</v>
      </c>
    </row>
    <row r="71" spans="1:10" ht="18.95" customHeight="1" x14ac:dyDescent="0.25">
      <c r="A71" s="396" t="s">
        <v>315</v>
      </c>
      <c r="B71" s="417"/>
      <c r="C71" s="432" t="s">
        <v>441</v>
      </c>
      <c r="D71" s="418"/>
      <c r="E71" s="433"/>
      <c r="F71" s="420" t="s">
        <v>442</v>
      </c>
      <c r="G71" s="463">
        <f>SUM(G72+G78)</f>
        <v>451614</v>
      </c>
      <c r="H71" s="463">
        <f>SUM(H72+H78)</f>
        <v>349544</v>
      </c>
      <c r="I71" s="463">
        <f>SUM(I72+I78)</f>
        <v>247332</v>
      </c>
      <c r="J71" s="402">
        <f t="shared" si="0"/>
        <v>70.758473897420643</v>
      </c>
    </row>
    <row r="72" spans="1:10" ht="18.95" customHeight="1" x14ac:dyDescent="0.2">
      <c r="A72" s="403" t="s">
        <v>315</v>
      </c>
      <c r="B72" s="436"/>
      <c r="C72" s="437"/>
      <c r="D72" s="404" t="s">
        <v>443</v>
      </c>
      <c r="E72" s="438"/>
      <c r="F72" s="406" t="s">
        <v>444</v>
      </c>
      <c r="G72" s="439">
        <f>SUM(G73:G77)</f>
        <v>409614</v>
      </c>
      <c r="H72" s="439">
        <f>SUM(H73:H77)</f>
        <v>307544</v>
      </c>
      <c r="I72" s="439">
        <f>SUM(I73:I77)</f>
        <v>206400</v>
      </c>
      <c r="J72" s="408">
        <f t="shared" si="0"/>
        <v>67.112348151809172</v>
      </c>
    </row>
    <row r="73" spans="1:10" ht="18.95" customHeight="1" x14ac:dyDescent="0.2">
      <c r="A73" s="409" t="s">
        <v>315</v>
      </c>
      <c r="B73" s="436"/>
      <c r="C73" s="437"/>
      <c r="D73" s="449"/>
      <c r="E73" s="450" t="s">
        <v>445</v>
      </c>
      <c r="F73" s="451" t="s">
        <v>446</v>
      </c>
      <c r="G73" s="444">
        <v>100000</v>
      </c>
      <c r="H73" s="444">
        <v>64105</v>
      </c>
      <c r="I73" s="461">
        <v>18772</v>
      </c>
      <c r="J73" s="416">
        <f t="shared" si="0"/>
        <v>29.283207238124952</v>
      </c>
    </row>
    <row r="74" spans="1:10" ht="18.95" customHeight="1" x14ac:dyDescent="0.2">
      <c r="A74" s="409" t="s">
        <v>315</v>
      </c>
      <c r="B74" s="436"/>
      <c r="C74" s="437"/>
      <c r="D74" s="449"/>
      <c r="E74" s="450" t="s">
        <v>447</v>
      </c>
      <c r="F74" s="451" t="s">
        <v>448</v>
      </c>
      <c r="G74" s="444">
        <v>166014</v>
      </c>
      <c r="H74" s="444">
        <v>99839</v>
      </c>
      <c r="I74" s="461">
        <v>61527</v>
      </c>
      <c r="J74" s="416">
        <f t="shared" si="0"/>
        <v>61.626218211320229</v>
      </c>
    </row>
    <row r="75" spans="1:10" ht="18.95" customHeight="1" x14ac:dyDescent="0.2">
      <c r="A75" s="409" t="s">
        <v>315</v>
      </c>
      <c r="B75" s="436"/>
      <c r="C75" s="437"/>
      <c r="D75" s="449"/>
      <c r="E75" s="450" t="s">
        <v>449</v>
      </c>
      <c r="F75" s="451" t="s">
        <v>450</v>
      </c>
      <c r="G75" s="444">
        <v>11000</v>
      </c>
      <c r="H75" s="444">
        <v>11000</v>
      </c>
      <c r="I75" s="461">
        <v>6933</v>
      </c>
      <c r="J75" s="416">
        <f t="shared" ref="J75:J79" si="1">SUM($I75/H75)*100</f>
        <v>63.027272727272731</v>
      </c>
    </row>
    <row r="76" spans="1:10" ht="18.75" customHeight="1" x14ac:dyDescent="0.2">
      <c r="A76" s="409" t="s">
        <v>315</v>
      </c>
      <c r="B76" s="436"/>
      <c r="C76" s="437"/>
      <c r="D76" s="449"/>
      <c r="E76" s="450" t="s">
        <v>451</v>
      </c>
      <c r="F76" s="451" t="s">
        <v>452</v>
      </c>
      <c r="G76" s="444">
        <v>132600</v>
      </c>
      <c r="H76" s="444">
        <v>132600</v>
      </c>
      <c r="I76" s="461">
        <v>119168</v>
      </c>
      <c r="J76" s="416">
        <f t="shared" si="1"/>
        <v>89.870286576168937</v>
      </c>
    </row>
    <row r="77" spans="1:10" ht="18.95" hidden="1" customHeight="1" x14ac:dyDescent="0.2">
      <c r="A77" s="409" t="s">
        <v>315</v>
      </c>
      <c r="B77" s="436"/>
      <c r="C77" s="437"/>
      <c r="D77" s="449"/>
      <c r="E77" s="450" t="s">
        <v>453</v>
      </c>
      <c r="F77" s="451" t="s">
        <v>454</v>
      </c>
      <c r="G77" s="444">
        <v>0</v>
      </c>
      <c r="H77" s="444">
        <v>0</v>
      </c>
      <c r="I77" s="444">
        <v>0</v>
      </c>
      <c r="J77" s="416" t="e">
        <f t="shared" si="1"/>
        <v>#DIV/0!</v>
      </c>
    </row>
    <row r="78" spans="1:10" ht="18.95" customHeight="1" x14ac:dyDescent="0.2">
      <c r="A78" s="403" t="s">
        <v>315</v>
      </c>
      <c r="B78" s="436"/>
      <c r="C78" s="437"/>
      <c r="D78" s="404" t="s">
        <v>455</v>
      </c>
      <c r="E78" s="450"/>
      <c r="F78" s="406" t="s">
        <v>456</v>
      </c>
      <c r="G78" s="439">
        <f>SUM(G79)</f>
        <v>42000</v>
      </c>
      <c r="H78" s="439">
        <f>SUM(H79)</f>
        <v>42000</v>
      </c>
      <c r="I78" s="439">
        <f>SUM(I79)</f>
        <v>40932</v>
      </c>
      <c r="J78" s="408">
        <f t="shared" si="1"/>
        <v>97.457142857142856</v>
      </c>
    </row>
    <row r="79" spans="1:10" ht="18.95" customHeight="1" x14ac:dyDescent="0.2">
      <c r="A79" s="409" t="s">
        <v>315</v>
      </c>
      <c r="B79" s="436"/>
      <c r="C79" s="437"/>
      <c r="D79" s="449"/>
      <c r="E79" s="450" t="s">
        <v>457</v>
      </c>
      <c r="F79" s="451" t="s">
        <v>458</v>
      </c>
      <c r="G79" s="444">
        <v>42000</v>
      </c>
      <c r="H79" s="444">
        <v>42000</v>
      </c>
      <c r="I79" s="444">
        <v>40932</v>
      </c>
      <c r="J79" s="416">
        <f t="shared" si="1"/>
        <v>97.457142857142856</v>
      </c>
    </row>
    <row r="80" spans="1:10" ht="15" thickBot="1" x14ac:dyDescent="0.25">
      <c r="A80" s="464"/>
      <c r="B80" s="465"/>
      <c r="C80" s="466"/>
      <c r="D80" s="466"/>
      <c r="E80" s="467"/>
      <c r="F80" s="468"/>
      <c r="G80" s="469"/>
      <c r="H80" s="470"/>
      <c r="I80" s="469"/>
      <c r="J80" s="471"/>
    </row>
    <row r="81" spans="2:9" x14ac:dyDescent="0.2">
      <c r="B81" s="473"/>
      <c r="C81" s="473"/>
      <c r="D81" s="473"/>
      <c r="E81" s="473"/>
      <c r="F81" s="473"/>
    </row>
    <row r="82" spans="2:9" x14ac:dyDescent="0.2">
      <c r="B82" s="473"/>
      <c r="C82" s="473"/>
      <c r="D82" s="473"/>
      <c r="E82" s="473"/>
      <c r="F82" s="473"/>
      <c r="I82" s="475"/>
    </row>
    <row r="83" spans="2:9" x14ac:dyDescent="0.2">
      <c r="B83" s="473"/>
      <c r="C83" s="473"/>
      <c r="D83" s="473"/>
      <c r="E83" s="473"/>
      <c r="F83" s="473"/>
      <c r="I83" s="475"/>
    </row>
    <row r="84" spans="2:9" x14ac:dyDescent="0.2">
      <c r="B84" s="473"/>
      <c r="C84" s="473"/>
      <c r="D84" s="473"/>
      <c r="E84" s="473"/>
      <c r="F84" s="473"/>
    </row>
    <row r="85" spans="2:9" x14ac:dyDescent="0.2">
      <c r="B85" s="473"/>
      <c r="C85" s="473"/>
      <c r="D85" s="473"/>
      <c r="E85" s="473"/>
      <c r="F85" s="473"/>
    </row>
    <row r="86" spans="2:9" x14ac:dyDescent="0.2">
      <c r="B86" s="473"/>
      <c r="C86" s="473"/>
      <c r="D86" s="473"/>
      <c r="E86" s="473"/>
      <c r="F86" s="473"/>
    </row>
    <row r="87" spans="2:9" x14ac:dyDescent="0.2">
      <c r="B87" s="473"/>
      <c r="C87" s="473"/>
      <c r="D87" s="473"/>
      <c r="E87" s="473"/>
      <c r="F87" s="473"/>
    </row>
    <row r="88" spans="2:9" x14ac:dyDescent="0.2">
      <c r="B88" s="473"/>
      <c r="C88" s="473"/>
      <c r="D88" s="473"/>
      <c r="E88" s="473"/>
      <c r="F88" s="473"/>
    </row>
    <row r="89" spans="2:9" x14ac:dyDescent="0.2">
      <c r="B89" s="473"/>
      <c r="C89" s="473"/>
      <c r="D89" s="473"/>
      <c r="E89" s="473"/>
      <c r="F89" s="473"/>
    </row>
    <row r="90" spans="2:9" x14ac:dyDescent="0.2">
      <c r="B90" s="473"/>
      <c r="C90" s="473"/>
      <c r="D90" s="473"/>
      <c r="E90" s="473"/>
      <c r="F90" s="473"/>
    </row>
    <row r="91" spans="2:9" x14ac:dyDescent="0.2">
      <c r="B91" s="473"/>
      <c r="C91" s="473"/>
      <c r="D91" s="473"/>
      <c r="E91" s="473"/>
      <c r="F91" s="473"/>
    </row>
    <row r="92" spans="2:9" x14ac:dyDescent="0.2">
      <c r="B92" s="473"/>
      <c r="C92" s="473"/>
      <c r="D92" s="473"/>
      <c r="E92" s="473"/>
      <c r="F92" s="473"/>
    </row>
    <row r="93" spans="2:9" x14ac:dyDescent="0.2">
      <c r="B93" s="473"/>
      <c r="C93" s="473"/>
      <c r="D93" s="473"/>
      <c r="E93" s="473"/>
      <c r="F93" s="473"/>
    </row>
    <row r="94" spans="2:9" x14ac:dyDescent="0.2">
      <c r="B94" s="473"/>
      <c r="C94" s="473"/>
      <c r="D94" s="473"/>
      <c r="E94" s="473"/>
      <c r="F94" s="473"/>
    </row>
    <row r="95" spans="2:9" x14ac:dyDescent="0.2">
      <c r="B95" s="473"/>
      <c r="C95" s="473"/>
      <c r="D95" s="473"/>
      <c r="E95" s="473"/>
      <c r="F95" s="473"/>
    </row>
    <row r="96" spans="2:9" x14ac:dyDescent="0.2">
      <c r="B96" s="473"/>
      <c r="C96" s="473"/>
      <c r="D96" s="473"/>
      <c r="E96" s="473"/>
      <c r="F96" s="473"/>
    </row>
    <row r="97" spans="2:6" x14ac:dyDescent="0.2">
      <c r="B97" s="473"/>
      <c r="C97" s="473"/>
      <c r="D97" s="473"/>
      <c r="E97" s="473"/>
      <c r="F97" s="473"/>
    </row>
    <row r="98" spans="2:6" x14ac:dyDescent="0.2">
      <c r="B98" s="473"/>
      <c r="C98" s="473"/>
      <c r="D98" s="473"/>
      <c r="E98" s="473"/>
      <c r="F98" s="473"/>
    </row>
    <row r="99" spans="2:6" x14ac:dyDescent="0.2">
      <c r="B99" s="473"/>
      <c r="C99" s="473"/>
      <c r="D99" s="473"/>
      <c r="E99" s="473"/>
      <c r="F99" s="473"/>
    </row>
    <row r="100" spans="2:6" x14ac:dyDescent="0.2">
      <c r="B100" s="473"/>
      <c r="C100" s="473"/>
      <c r="D100" s="473"/>
      <c r="E100" s="473"/>
      <c r="F100" s="473"/>
    </row>
    <row r="101" spans="2:6" x14ac:dyDescent="0.2">
      <c r="B101" s="473"/>
      <c r="C101" s="473"/>
      <c r="D101" s="473"/>
      <c r="E101" s="473"/>
      <c r="F101" s="473"/>
    </row>
    <row r="102" spans="2:6" x14ac:dyDescent="0.2">
      <c r="B102" s="473"/>
      <c r="C102" s="473"/>
      <c r="D102" s="473"/>
      <c r="E102" s="473"/>
      <c r="F102" s="473"/>
    </row>
    <row r="103" spans="2:6" x14ac:dyDescent="0.2">
      <c r="B103" s="473"/>
      <c r="C103" s="473"/>
      <c r="D103" s="473"/>
      <c r="E103" s="473"/>
      <c r="F103" s="473"/>
    </row>
    <row r="104" spans="2:6" x14ac:dyDescent="0.2">
      <c r="B104" s="473"/>
      <c r="C104" s="473"/>
      <c r="D104" s="473"/>
      <c r="E104" s="473"/>
      <c r="F104" s="473"/>
    </row>
    <row r="105" spans="2:6" x14ac:dyDescent="0.2">
      <c r="B105" s="473"/>
      <c r="C105" s="473"/>
      <c r="D105" s="473"/>
      <c r="E105" s="473"/>
      <c r="F105" s="473"/>
    </row>
    <row r="106" spans="2:6" x14ac:dyDescent="0.2">
      <c r="B106" s="473"/>
      <c r="C106" s="473"/>
      <c r="D106" s="473"/>
      <c r="E106" s="473"/>
      <c r="F106" s="473"/>
    </row>
    <row r="107" spans="2:6" x14ac:dyDescent="0.2">
      <c r="B107" s="473"/>
      <c r="C107" s="473"/>
      <c r="D107" s="473"/>
      <c r="E107" s="473"/>
      <c r="F107" s="473"/>
    </row>
    <row r="108" spans="2:6" x14ac:dyDescent="0.2">
      <c r="B108" s="473"/>
      <c r="C108" s="473"/>
      <c r="D108" s="473"/>
      <c r="E108" s="473"/>
      <c r="F108" s="473"/>
    </row>
    <row r="109" spans="2:6" x14ac:dyDescent="0.2">
      <c r="B109" s="473"/>
      <c r="C109" s="473"/>
      <c r="D109" s="473"/>
      <c r="E109" s="473"/>
      <c r="F109" s="473"/>
    </row>
    <row r="110" spans="2:6" x14ac:dyDescent="0.2">
      <c r="B110" s="473"/>
      <c r="C110" s="473"/>
      <c r="D110" s="473"/>
      <c r="E110" s="473"/>
      <c r="F110" s="473"/>
    </row>
    <row r="111" spans="2:6" x14ac:dyDescent="0.2">
      <c r="B111" s="473"/>
      <c r="C111" s="473"/>
      <c r="D111" s="473"/>
      <c r="E111" s="473"/>
      <c r="F111" s="473"/>
    </row>
    <row r="112" spans="2:6" x14ac:dyDescent="0.2">
      <c r="B112" s="473"/>
      <c r="C112" s="473"/>
      <c r="D112" s="473"/>
      <c r="E112" s="473"/>
      <c r="F112" s="473"/>
    </row>
    <row r="113" spans="2:6" x14ac:dyDescent="0.2">
      <c r="B113" s="473"/>
      <c r="C113" s="473"/>
      <c r="D113" s="473"/>
      <c r="E113" s="473"/>
      <c r="F113" s="473"/>
    </row>
    <row r="114" spans="2:6" x14ac:dyDescent="0.2">
      <c r="B114" s="473"/>
      <c r="C114" s="473"/>
      <c r="D114" s="473"/>
      <c r="E114" s="473"/>
      <c r="F114" s="473"/>
    </row>
    <row r="115" spans="2:6" x14ac:dyDescent="0.2">
      <c r="B115" s="473"/>
      <c r="C115" s="473"/>
      <c r="D115" s="473"/>
      <c r="E115" s="473"/>
      <c r="F115" s="473"/>
    </row>
    <row r="116" spans="2:6" x14ac:dyDescent="0.2">
      <c r="B116" s="473"/>
      <c r="C116" s="473"/>
      <c r="D116" s="473"/>
      <c r="E116" s="473"/>
      <c r="F116" s="473"/>
    </row>
    <row r="117" spans="2:6" x14ac:dyDescent="0.2">
      <c r="B117" s="473"/>
      <c r="C117" s="473"/>
      <c r="D117" s="473"/>
      <c r="E117" s="473"/>
      <c r="F117" s="473"/>
    </row>
    <row r="118" spans="2:6" x14ac:dyDescent="0.2">
      <c r="B118" s="473"/>
      <c r="C118" s="473"/>
      <c r="D118" s="473"/>
      <c r="E118" s="473"/>
      <c r="F118" s="473"/>
    </row>
    <row r="119" spans="2:6" x14ac:dyDescent="0.2">
      <c r="B119" s="473"/>
      <c r="C119" s="473"/>
      <c r="D119" s="473"/>
      <c r="E119" s="473"/>
      <c r="F119" s="473"/>
    </row>
    <row r="120" spans="2:6" x14ac:dyDescent="0.2">
      <c r="B120" s="473"/>
      <c r="C120" s="473"/>
      <c r="D120" s="473"/>
      <c r="E120" s="473"/>
      <c r="F120" s="473"/>
    </row>
    <row r="121" spans="2:6" x14ac:dyDescent="0.2">
      <c r="B121" s="473"/>
      <c r="C121" s="473"/>
      <c r="D121" s="473"/>
      <c r="E121" s="473"/>
      <c r="F121" s="473"/>
    </row>
    <row r="122" spans="2:6" x14ac:dyDescent="0.2">
      <c r="B122" s="473"/>
      <c r="C122" s="473"/>
      <c r="D122" s="473"/>
      <c r="E122" s="473"/>
      <c r="F122" s="473"/>
    </row>
    <row r="123" spans="2:6" x14ac:dyDescent="0.2">
      <c r="B123" s="473"/>
      <c r="C123" s="473"/>
      <c r="D123" s="473"/>
      <c r="E123" s="473"/>
      <c r="F123" s="473"/>
    </row>
    <row r="124" spans="2:6" x14ac:dyDescent="0.2">
      <c r="B124" s="473"/>
      <c r="C124" s="473"/>
      <c r="D124" s="473"/>
      <c r="E124" s="473"/>
      <c r="F124" s="473"/>
    </row>
    <row r="125" spans="2:6" x14ac:dyDescent="0.2">
      <c r="B125" s="473"/>
      <c r="C125" s="473"/>
      <c r="D125" s="473"/>
      <c r="E125" s="473"/>
      <c r="F125" s="473"/>
    </row>
    <row r="126" spans="2:6" x14ac:dyDescent="0.2">
      <c r="B126" s="473"/>
      <c r="C126" s="473"/>
      <c r="D126" s="473"/>
      <c r="E126" s="473"/>
      <c r="F126" s="473"/>
    </row>
    <row r="127" spans="2:6" x14ac:dyDescent="0.2">
      <c r="B127" s="473"/>
      <c r="C127" s="473"/>
      <c r="D127" s="473"/>
      <c r="E127" s="473"/>
      <c r="F127" s="473"/>
    </row>
    <row r="128" spans="2:6" x14ac:dyDescent="0.2">
      <c r="B128" s="473"/>
      <c r="C128" s="473"/>
      <c r="D128" s="473"/>
      <c r="E128" s="473"/>
      <c r="F128" s="473"/>
    </row>
    <row r="129" spans="2:6" x14ac:dyDescent="0.2">
      <c r="B129" s="473"/>
      <c r="C129" s="473"/>
      <c r="D129" s="473"/>
      <c r="E129" s="473"/>
      <c r="F129" s="473"/>
    </row>
    <row r="130" spans="2:6" x14ac:dyDescent="0.2">
      <c r="B130" s="473"/>
      <c r="C130" s="473"/>
      <c r="D130" s="473"/>
      <c r="E130" s="473"/>
      <c r="F130" s="473"/>
    </row>
    <row r="131" spans="2:6" x14ac:dyDescent="0.2">
      <c r="B131" s="473"/>
      <c r="C131" s="473"/>
      <c r="D131" s="473"/>
      <c r="E131" s="473"/>
      <c r="F131" s="473"/>
    </row>
    <row r="132" spans="2:6" x14ac:dyDescent="0.2">
      <c r="B132" s="473"/>
      <c r="C132" s="473"/>
      <c r="D132" s="473"/>
      <c r="E132" s="473"/>
      <c r="F132" s="473"/>
    </row>
    <row r="133" spans="2:6" x14ac:dyDescent="0.2">
      <c r="B133" s="473"/>
      <c r="C133" s="473"/>
      <c r="D133" s="473"/>
      <c r="E133" s="473"/>
      <c r="F133" s="473"/>
    </row>
    <row r="134" spans="2:6" x14ac:dyDescent="0.2">
      <c r="B134" s="473"/>
      <c r="C134" s="473"/>
      <c r="D134" s="473"/>
      <c r="E134" s="473"/>
      <c r="F134" s="473"/>
    </row>
    <row r="135" spans="2:6" x14ac:dyDescent="0.2">
      <c r="B135" s="473"/>
      <c r="C135" s="473"/>
      <c r="D135" s="473"/>
      <c r="E135" s="473"/>
      <c r="F135" s="473"/>
    </row>
    <row r="136" spans="2:6" x14ac:dyDescent="0.2">
      <c r="B136" s="473"/>
      <c r="C136" s="473"/>
      <c r="D136" s="473"/>
      <c r="E136" s="473"/>
      <c r="F136" s="473"/>
    </row>
    <row r="137" spans="2:6" x14ac:dyDescent="0.2">
      <c r="B137" s="473"/>
      <c r="C137" s="473"/>
      <c r="D137" s="473"/>
      <c r="E137" s="473"/>
      <c r="F137" s="473"/>
    </row>
    <row r="138" spans="2:6" x14ac:dyDescent="0.2">
      <c r="B138" s="473"/>
      <c r="C138" s="473"/>
      <c r="D138" s="473"/>
      <c r="E138" s="473"/>
      <c r="F138" s="473"/>
    </row>
    <row r="139" spans="2:6" x14ac:dyDescent="0.2">
      <c r="B139" s="473"/>
      <c r="C139" s="473"/>
      <c r="D139" s="473"/>
      <c r="E139" s="473"/>
      <c r="F139" s="473"/>
    </row>
    <row r="140" spans="2:6" x14ac:dyDescent="0.2">
      <c r="B140" s="473"/>
      <c r="C140" s="473"/>
      <c r="D140" s="473"/>
      <c r="E140" s="473"/>
      <c r="F140" s="473"/>
    </row>
    <row r="141" spans="2:6" x14ac:dyDescent="0.2">
      <c r="B141" s="473"/>
      <c r="C141" s="473"/>
      <c r="D141" s="473"/>
      <c r="E141" s="473"/>
      <c r="F141" s="473"/>
    </row>
    <row r="142" spans="2:6" x14ac:dyDescent="0.2">
      <c r="B142" s="473"/>
      <c r="C142" s="473"/>
      <c r="D142" s="473"/>
      <c r="E142" s="473"/>
      <c r="F142" s="473"/>
    </row>
    <row r="143" spans="2:6" x14ac:dyDescent="0.2">
      <c r="B143" s="473"/>
      <c r="C143" s="473"/>
      <c r="D143" s="473"/>
      <c r="E143" s="473"/>
      <c r="F143" s="473"/>
    </row>
    <row r="144" spans="2:6" x14ac:dyDescent="0.2">
      <c r="B144" s="473"/>
      <c r="C144" s="473"/>
      <c r="D144" s="473"/>
      <c r="E144" s="473"/>
      <c r="F144" s="473"/>
    </row>
    <row r="145" spans="2:6" x14ac:dyDescent="0.2">
      <c r="B145" s="473"/>
      <c r="C145" s="473"/>
      <c r="D145" s="473"/>
      <c r="E145" s="473"/>
      <c r="F145" s="473"/>
    </row>
    <row r="146" spans="2:6" x14ac:dyDescent="0.2">
      <c r="B146" s="473"/>
      <c r="C146" s="473"/>
      <c r="D146" s="473"/>
      <c r="E146" s="473"/>
      <c r="F146" s="473"/>
    </row>
    <row r="147" spans="2:6" x14ac:dyDescent="0.2">
      <c r="B147" s="473"/>
      <c r="C147" s="473"/>
      <c r="D147" s="473"/>
      <c r="E147" s="473"/>
      <c r="F147" s="473"/>
    </row>
    <row r="148" spans="2:6" x14ac:dyDescent="0.2">
      <c r="B148" s="473"/>
      <c r="C148" s="473"/>
      <c r="D148" s="473"/>
      <c r="E148" s="473"/>
      <c r="F148" s="473"/>
    </row>
    <row r="149" spans="2:6" x14ac:dyDescent="0.2">
      <c r="B149" s="473"/>
      <c r="C149" s="473"/>
      <c r="D149" s="473"/>
      <c r="E149" s="473"/>
      <c r="F149" s="473"/>
    </row>
    <row r="150" spans="2:6" x14ac:dyDescent="0.2">
      <c r="B150" s="473"/>
      <c r="C150" s="473"/>
      <c r="D150" s="473"/>
      <c r="E150" s="473"/>
      <c r="F150" s="473"/>
    </row>
    <row r="151" spans="2:6" x14ac:dyDescent="0.2">
      <c r="B151" s="473"/>
      <c r="C151" s="473"/>
      <c r="D151" s="473"/>
      <c r="E151" s="473"/>
      <c r="F151" s="473"/>
    </row>
    <row r="152" spans="2:6" x14ac:dyDescent="0.2">
      <c r="B152" s="473"/>
      <c r="C152" s="473"/>
      <c r="D152" s="473"/>
      <c r="E152" s="473"/>
      <c r="F152" s="473"/>
    </row>
    <row r="153" spans="2:6" x14ac:dyDescent="0.2">
      <c r="B153" s="473"/>
      <c r="C153" s="473"/>
      <c r="D153" s="473"/>
      <c r="E153" s="473"/>
      <c r="F153" s="473"/>
    </row>
    <row r="154" spans="2:6" x14ac:dyDescent="0.2">
      <c r="B154" s="473"/>
      <c r="C154" s="473"/>
      <c r="D154" s="473"/>
      <c r="E154" s="473"/>
      <c r="F154" s="473"/>
    </row>
    <row r="155" spans="2:6" x14ac:dyDescent="0.2">
      <c r="B155" s="473"/>
      <c r="C155" s="473"/>
      <c r="D155" s="473"/>
      <c r="E155" s="473"/>
      <c r="F155" s="473"/>
    </row>
    <row r="156" spans="2:6" x14ac:dyDescent="0.2">
      <c r="B156" s="473"/>
      <c r="C156" s="473"/>
      <c r="D156" s="473"/>
      <c r="E156" s="473"/>
      <c r="F156" s="473"/>
    </row>
    <row r="157" spans="2:6" x14ac:dyDescent="0.2">
      <c r="B157" s="473"/>
      <c r="C157" s="473"/>
      <c r="D157" s="473"/>
      <c r="E157" s="473"/>
      <c r="F157" s="473"/>
    </row>
    <row r="158" spans="2:6" x14ac:dyDescent="0.2">
      <c r="B158" s="473"/>
      <c r="C158" s="473"/>
      <c r="D158" s="473"/>
      <c r="E158" s="473"/>
      <c r="F158" s="473"/>
    </row>
    <row r="159" spans="2:6" x14ac:dyDescent="0.2">
      <c r="B159" s="473"/>
      <c r="C159" s="473"/>
      <c r="D159" s="473"/>
      <c r="E159" s="473"/>
      <c r="F159" s="473"/>
    </row>
    <row r="160" spans="2:6" x14ac:dyDescent="0.2">
      <c r="B160" s="473"/>
      <c r="C160" s="473"/>
      <c r="D160" s="473"/>
      <c r="E160" s="473"/>
      <c r="F160" s="473"/>
    </row>
    <row r="161" spans="2:6" x14ac:dyDescent="0.2">
      <c r="B161" s="473"/>
      <c r="C161" s="473"/>
      <c r="D161" s="473"/>
      <c r="E161" s="473"/>
      <c r="F161" s="473"/>
    </row>
    <row r="162" spans="2:6" x14ac:dyDescent="0.2">
      <c r="B162" s="473"/>
      <c r="C162" s="473"/>
      <c r="D162" s="473"/>
      <c r="E162" s="473"/>
      <c r="F162" s="473"/>
    </row>
    <row r="163" spans="2:6" x14ac:dyDescent="0.2">
      <c r="B163" s="473"/>
      <c r="C163" s="473"/>
      <c r="D163" s="473"/>
      <c r="E163" s="473"/>
      <c r="F163" s="473"/>
    </row>
    <row r="164" spans="2:6" x14ac:dyDescent="0.2">
      <c r="B164" s="473"/>
      <c r="C164" s="473"/>
      <c r="D164" s="473"/>
      <c r="E164" s="473"/>
      <c r="F164" s="473"/>
    </row>
    <row r="165" spans="2:6" x14ac:dyDescent="0.2">
      <c r="B165" s="473"/>
      <c r="C165" s="473"/>
      <c r="D165" s="473"/>
      <c r="E165" s="473"/>
      <c r="F165" s="473"/>
    </row>
    <row r="166" spans="2:6" x14ac:dyDescent="0.2">
      <c r="B166" s="473"/>
      <c r="C166" s="473"/>
      <c r="D166" s="473"/>
      <c r="E166" s="473"/>
      <c r="F166" s="473"/>
    </row>
    <row r="167" spans="2:6" x14ac:dyDescent="0.2">
      <c r="B167" s="473"/>
      <c r="C167" s="473"/>
      <c r="D167" s="473"/>
      <c r="E167" s="473"/>
      <c r="F167" s="473"/>
    </row>
    <row r="168" spans="2:6" x14ac:dyDescent="0.2">
      <c r="B168" s="473"/>
      <c r="C168" s="473"/>
      <c r="D168" s="473"/>
      <c r="E168" s="473"/>
      <c r="F168" s="473"/>
    </row>
    <row r="169" spans="2:6" x14ac:dyDescent="0.2">
      <c r="B169" s="473"/>
      <c r="C169" s="473"/>
      <c r="D169" s="473"/>
      <c r="E169" s="473"/>
      <c r="F169" s="473"/>
    </row>
    <row r="170" spans="2:6" x14ac:dyDescent="0.2">
      <c r="B170" s="473"/>
      <c r="C170" s="473"/>
      <c r="D170" s="473"/>
      <c r="E170" s="473"/>
      <c r="F170" s="473"/>
    </row>
    <row r="171" spans="2:6" x14ac:dyDescent="0.2">
      <c r="B171" s="473"/>
      <c r="C171" s="473"/>
      <c r="D171" s="473"/>
      <c r="E171" s="473"/>
      <c r="F171" s="473"/>
    </row>
    <row r="172" spans="2:6" x14ac:dyDescent="0.2">
      <c r="B172" s="473"/>
      <c r="C172" s="473"/>
      <c r="D172" s="473"/>
      <c r="E172" s="473"/>
      <c r="F172" s="473"/>
    </row>
    <row r="173" spans="2:6" x14ac:dyDescent="0.2">
      <c r="B173" s="473"/>
      <c r="C173" s="473"/>
      <c r="D173" s="473"/>
      <c r="E173" s="473"/>
      <c r="F173" s="473"/>
    </row>
    <row r="174" spans="2:6" x14ac:dyDescent="0.2">
      <c r="B174" s="473"/>
      <c r="C174" s="473"/>
      <c r="D174" s="473"/>
      <c r="E174" s="473"/>
      <c r="F174" s="473"/>
    </row>
    <row r="175" spans="2:6" x14ac:dyDescent="0.2">
      <c r="B175" s="473"/>
      <c r="C175" s="473"/>
      <c r="D175" s="473"/>
      <c r="E175" s="473"/>
      <c r="F175" s="473"/>
    </row>
    <row r="176" spans="2:6" x14ac:dyDescent="0.2">
      <c r="B176" s="473"/>
      <c r="C176" s="473"/>
      <c r="D176" s="473"/>
      <c r="E176" s="473"/>
      <c r="F176" s="473"/>
    </row>
    <row r="177" spans="2:6" x14ac:dyDescent="0.2">
      <c r="B177" s="473"/>
      <c r="C177" s="473"/>
      <c r="D177" s="473"/>
      <c r="E177" s="473"/>
      <c r="F177" s="473"/>
    </row>
    <row r="178" spans="2:6" x14ac:dyDescent="0.2">
      <c r="B178" s="473"/>
      <c r="C178" s="473"/>
      <c r="D178" s="473"/>
      <c r="E178" s="473"/>
      <c r="F178" s="473"/>
    </row>
    <row r="179" spans="2:6" x14ac:dyDescent="0.2">
      <c r="B179" s="473"/>
      <c r="C179" s="473"/>
      <c r="D179" s="473"/>
      <c r="E179" s="473"/>
      <c r="F179" s="473"/>
    </row>
    <row r="180" spans="2:6" x14ac:dyDescent="0.2">
      <c r="B180" s="473"/>
      <c r="C180" s="473"/>
      <c r="D180" s="473"/>
      <c r="E180" s="473"/>
      <c r="F180" s="473"/>
    </row>
    <row r="181" spans="2:6" x14ac:dyDescent="0.2">
      <c r="B181" s="473"/>
      <c r="C181" s="473"/>
      <c r="D181" s="473"/>
      <c r="E181" s="473"/>
      <c r="F181" s="473"/>
    </row>
    <row r="182" spans="2:6" x14ac:dyDescent="0.2">
      <c r="B182" s="473"/>
      <c r="C182" s="473"/>
      <c r="D182" s="473"/>
      <c r="E182" s="473"/>
      <c r="F182" s="473"/>
    </row>
    <row r="183" spans="2:6" x14ac:dyDescent="0.2">
      <c r="B183" s="473"/>
      <c r="C183" s="473"/>
      <c r="D183" s="473"/>
      <c r="E183" s="473"/>
      <c r="F183" s="473"/>
    </row>
    <row r="184" spans="2:6" x14ac:dyDescent="0.2">
      <c r="B184" s="473"/>
      <c r="C184" s="473"/>
      <c r="D184" s="473"/>
      <c r="E184" s="473"/>
      <c r="F184" s="473"/>
    </row>
    <row r="185" spans="2:6" x14ac:dyDescent="0.2">
      <c r="B185" s="473"/>
      <c r="C185" s="473"/>
      <c r="D185" s="473"/>
      <c r="E185" s="473"/>
      <c r="F185" s="473"/>
    </row>
    <row r="186" spans="2:6" x14ac:dyDescent="0.2">
      <c r="B186" s="473"/>
      <c r="C186" s="473"/>
      <c r="D186" s="473"/>
      <c r="E186" s="473"/>
      <c r="F186" s="473"/>
    </row>
    <row r="187" spans="2:6" x14ac:dyDescent="0.2">
      <c r="B187" s="473"/>
      <c r="C187" s="473"/>
      <c r="D187" s="473"/>
      <c r="E187" s="473"/>
      <c r="F187" s="473"/>
    </row>
    <row r="188" spans="2:6" x14ac:dyDescent="0.2">
      <c r="B188" s="473"/>
      <c r="C188" s="473"/>
      <c r="D188" s="473"/>
      <c r="E188" s="473"/>
      <c r="F188" s="473"/>
    </row>
    <row r="189" spans="2:6" x14ac:dyDescent="0.2">
      <c r="B189" s="473"/>
      <c r="C189" s="473"/>
      <c r="D189" s="473"/>
      <c r="E189" s="473"/>
      <c r="F189" s="473"/>
    </row>
    <row r="190" spans="2:6" x14ac:dyDescent="0.2">
      <c r="B190" s="473"/>
      <c r="C190" s="473"/>
      <c r="D190" s="473"/>
      <c r="E190" s="473"/>
      <c r="F190" s="473"/>
    </row>
    <row r="191" spans="2:6" x14ac:dyDescent="0.2">
      <c r="B191" s="473"/>
      <c r="C191" s="473"/>
      <c r="D191" s="473"/>
      <c r="E191" s="473"/>
      <c r="F191" s="473"/>
    </row>
    <row r="192" spans="2:6" x14ac:dyDescent="0.2">
      <c r="B192" s="473"/>
      <c r="C192" s="473"/>
      <c r="D192" s="473"/>
      <c r="E192" s="473"/>
      <c r="F192" s="473"/>
    </row>
    <row r="193" spans="2:6" x14ac:dyDescent="0.2">
      <c r="B193" s="473"/>
      <c r="C193" s="473"/>
      <c r="D193" s="473"/>
      <c r="E193" s="473"/>
      <c r="F193" s="473"/>
    </row>
    <row r="194" spans="2:6" x14ac:dyDescent="0.2">
      <c r="B194" s="473"/>
      <c r="C194" s="473"/>
      <c r="D194" s="473"/>
      <c r="E194" s="473"/>
      <c r="F194" s="473"/>
    </row>
    <row r="195" spans="2:6" x14ac:dyDescent="0.2">
      <c r="B195" s="473"/>
      <c r="C195" s="473"/>
      <c r="D195" s="473"/>
      <c r="E195" s="473"/>
      <c r="F195" s="473"/>
    </row>
    <row r="196" spans="2:6" x14ac:dyDescent="0.2">
      <c r="B196" s="473"/>
      <c r="C196" s="473"/>
      <c r="D196" s="473"/>
      <c r="E196" s="473"/>
      <c r="F196" s="473"/>
    </row>
    <row r="197" spans="2:6" x14ac:dyDescent="0.2">
      <c r="B197" s="473"/>
      <c r="C197" s="473"/>
      <c r="D197" s="473"/>
      <c r="E197" s="473"/>
      <c r="F197" s="473"/>
    </row>
    <row r="198" spans="2:6" x14ac:dyDescent="0.2">
      <c r="B198" s="473"/>
      <c r="C198" s="473"/>
      <c r="D198" s="473"/>
      <c r="E198" s="473"/>
      <c r="F198" s="473"/>
    </row>
    <row r="199" spans="2:6" x14ac:dyDescent="0.2">
      <c r="B199" s="473"/>
      <c r="C199" s="473"/>
      <c r="D199" s="473"/>
      <c r="E199" s="473"/>
      <c r="F199" s="473"/>
    </row>
    <row r="200" spans="2:6" x14ac:dyDescent="0.2">
      <c r="B200" s="473"/>
      <c r="C200" s="473"/>
      <c r="D200" s="473"/>
      <c r="E200" s="473"/>
      <c r="F200" s="473"/>
    </row>
    <row r="201" spans="2:6" x14ac:dyDescent="0.2">
      <c r="B201" s="473"/>
      <c r="C201" s="473"/>
      <c r="D201" s="473"/>
      <c r="E201" s="473"/>
      <c r="F201" s="473"/>
    </row>
    <row r="202" spans="2:6" x14ac:dyDescent="0.2">
      <c r="B202" s="473"/>
      <c r="C202" s="473"/>
      <c r="D202" s="473"/>
      <c r="E202" s="473"/>
      <c r="F202" s="473"/>
    </row>
    <row r="203" spans="2:6" x14ac:dyDescent="0.2">
      <c r="B203" s="473"/>
      <c r="C203" s="473"/>
      <c r="D203" s="473"/>
      <c r="E203" s="473"/>
      <c r="F203" s="473"/>
    </row>
    <row r="204" spans="2:6" x14ac:dyDescent="0.2">
      <c r="B204" s="473"/>
      <c r="C204" s="473"/>
      <c r="D204" s="473"/>
      <c r="E204" s="473"/>
      <c r="F204" s="473"/>
    </row>
    <row r="205" spans="2:6" x14ac:dyDescent="0.2">
      <c r="B205" s="473"/>
      <c r="C205" s="473"/>
      <c r="D205" s="473"/>
      <c r="E205" s="473"/>
      <c r="F205" s="473"/>
    </row>
    <row r="206" spans="2:6" x14ac:dyDescent="0.2">
      <c r="B206" s="473"/>
      <c r="C206" s="473"/>
      <c r="D206" s="473"/>
      <c r="E206" s="473"/>
      <c r="F206" s="473"/>
    </row>
    <row r="207" spans="2:6" x14ac:dyDescent="0.2">
      <c r="B207" s="473"/>
      <c r="C207" s="473"/>
      <c r="D207" s="473"/>
      <c r="E207" s="473"/>
      <c r="F207" s="473"/>
    </row>
    <row r="208" spans="2:6" x14ac:dyDescent="0.2">
      <c r="B208" s="473"/>
      <c r="C208" s="473"/>
      <c r="D208" s="473"/>
      <c r="E208" s="473"/>
      <c r="F208" s="473"/>
    </row>
    <row r="209" spans="2:6" x14ac:dyDescent="0.2">
      <c r="B209" s="473"/>
      <c r="C209" s="473"/>
      <c r="D209" s="473"/>
      <c r="E209" s="473"/>
      <c r="F209" s="473"/>
    </row>
    <row r="210" spans="2:6" x14ac:dyDescent="0.2">
      <c r="B210" s="473"/>
      <c r="C210" s="473"/>
      <c r="D210" s="473"/>
      <c r="E210" s="473"/>
      <c r="F210" s="473"/>
    </row>
    <row r="211" spans="2:6" x14ac:dyDescent="0.2">
      <c r="B211" s="473"/>
      <c r="C211" s="473"/>
      <c r="D211" s="473"/>
      <c r="E211" s="473"/>
      <c r="F211" s="473"/>
    </row>
    <row r="212" spans="2:6" x14ac:dyDescent="0.2">
      <c r="B212" s="473"/>
      <c r="C212" s="473"/>
      <c r="D212" s="473"/>
      <c r="E212" s="473"/>
      <c r="F212" s="473"/>
    </row>
    <row r="213" spans="2:6" x14ac:dyDescent="0.2">
      <c r="B213" s="473"/>
      <c r="C213" s="473"/>
      <c r="D213" s="473"/>
      <c r="E213" s="473"/>
      <c r="F213" s="473"/>
    </row>
    <row r="214" spans="2:6" x14ac:dyDescent="0.2">
      <c r="B214" s="473"/>
      <c r="C214" s="473"/>
      <c r="D214" s="473"/>
      <c r="E214" s="473"/>
      <c r="F214" s="473"/>
    </row>
    <row r="215" spans="2:6" x14ac:dyDescent="0.2">
      <c r="B215" s="473"/>
      <c r="C215" s="473"/>
      <c r="D215" s="473"/>
      <c r="E215" s="473"/>
      <c r="F215" s="473"/>
    </row>
    <row r="216" spans="2:6" x14ac:dyDescent="0.2">
      <c r="B216" s="473"/>
      <c r="C216" s="473"/>
      <c r="D216" s="473"/>
      <c r="E216" s="473"/>
      <c r="F216" s="473"/>
    </row>
    <row r="217" spans="2:6" x14ac:dyDescent="0.2">
      <c r="B217" s="473"/>
      <c r="C217" s="473"/>
      <c r="D217" s="473"/>
      <c r="E217" s="473"/>
      <c r="F217" s="473"/>
    </row>
    <row r="218" spans="2:6" x14ac:dyDescent="0.2">
      <c r="B218" s="473"/>
      <c r="C218" s="473"/>
      <c r="D218" s="473"/>
      <c r="E218" s="473"/>
      <c r="F218" s="473"/>
    </row>
    <row r="219" spans="2:6" x14ac:dyDescent="0.2">
      <c r="B219" s="473"/>
      <c r="C219" s="473"/>
      <c r="D219" s="473"/>
      <c r="E219" s="473"/>
      <c r="F219" s="473"/>
    </row>
    <row r="220" spans="2:6" x14ac:dyDescent="0.2">
      <c r="B220" s="473"/>
      <c r="C220" s="473"/>
      <c r="D220" s="473"/>
      <c r="E220" s="473"/>
      <c r="F220" s="473"/>
    </row>
    <row r="221" spans="2:6" x14ac:dyDescent="0.2">
      <c r="B221" s="473"/>
      <c r="C221" s="473"/>
      <c r="D221" s="473"/>
      <c r="E221" s="473"/>
      <c r="F221" s="473"/>
    </row>
    <row r="222" spans="2:6" x14ac:dyDescent="0.2">
      <c r="B222" s="473"/>
      <c r="C222" s="473"/>
      <c r="D222" s="473"/>
      <c r="E222" s="473"/>
      <c r="F222" s="473"/>
    </row>
    <row r="223" spans="2:6" x14ac:dyDescent="0.2">
      <c r="B223" s="473"/>
      <c r="C223" s="473"/>
      <c r="D223" s="473"/>
      <c r="E223" s="473"/>
      <c r="F223" s="473"/>
    </row>
    <row r="224" spans="2:6" x14ac:dyDescent="0.2">
      <c r="B224" s="473"/>
      <c r="C224" s="473"/>
      <c r="D224" s="473"/>
      <c r="E224" s="473"/>
      <c r="F224" s="473"/>
    </row>
    <row r="225" spans="2:6" x14ac:dyDescent="0.2">
      <c r="B225" s="473"/>
      <c r="C225" s="473"/>
      <c r="D225" s="473"/>
      <c r="E225" s="473"/>
      <c r="F225" s="473"/>
    </row>
    <row r="226" spans="2:6" x14ac:dyDescent="0.2">
      <c r="B226" s="473"/>
      <c r="C226" s="473"/>
      <c r="D226" s="473"/>
      <c r="E226" s="473"/>
      <c r="F226" s="473"/>
    </row>
    <row r="227" spans="2:6" x14ac:dyDescent="0.2">
      <c r="B227" s="473"/>
      <c r="C227" s="473"/>
      <c r="D227" s="473"/>
      <c r="E227" s="473"/>
      <c r="F227" s="473"/>
    </row>
    <row r="228" spans="2:6" x14ac:dyDescent="0.2">
      <c r="B228" s="473"/>
      <c r="C228" s="473"/>
      <c r="D228" s="473"/>
      <c r="E228" s="473"/>
      <c r="F228" s="473"/>
    </row>
    <row r="229" spans="2:6" x14ac:dyDescent="0.2">
      <c r="B229" s="473"/>
      <c r="C229" s="473"/>
      <c r="D229" s="473"/>
      <c r="E229" s="473"/>
      <c r="F229" s="473"/>
    </row>
    <row r="230" spans="2:6" x14ac:dyDescent="0.2">
      <c r="B230" s="473"/>
      <c r="C230" s="473"/>
      <c r="D230" s="473"/>
      <c r="E230" s="473"/>
      <c r="F230" s="473"/>
    </row>
    <row r="231" spans="2:6" x14ac:dyDescent="0.2">
      <c r="B231" s="473"/>
      <c r="C231" s="473"/>
      <c r="D231" s="473"/>
      <c r="E231" s="473"/>
      <c r="F231" s="473"/>
    </row>
    <row r="232" spans="2:6" x14ac:dyDescent="0.2">
      <c r="B232" s="473"/>
      <c r="C232" s="473"/>
      <c r="D232" s="473"/>
      <c r="E232" s="473"/>
      <c r="F232" s="473"/>
    </row>
    <row r="233" spans="2:6" x14ac:dyDescent="0.2">
      <c r="B233" s="473"/>
      <c r="C233" s="473"/>
      <c r="D233" s="473"/>
      <c r="E233" s="473"/>
      <c r="F233" s="473"/>
    </row>
    <row r="234" spans="2:6" x14ac:dyDescent="0.2">
      <c r="B234" s="473"/>
      <c r="C234" s="473"/>
      <c r="D234" s="473"/>
      <c r="E234" s="473"/>
      <c r="F234" s="473"/>
    </row>
    <row r="235" spans="2:6" x14ac:dyDescent="0.2">
      <c r="B235" s="473"/>
      <c r="C235" s="473"/>
      <c r="D235" s="473"/>
      <c r="E235" s="473"/>
      <c r="F235" s="473"/>
    </row>
    <row r="236" spans="2:6" x14ac:dyDescent="0.2">
      <c r="B236" s="473"/>
      <c r="C236" s="473"/>
      <c r="D236" s="473"/>
      <c r="E236" s="473"/>
      <c r="F236" s="473"/>
    </row>
    <row r="237" spans="2:6" x14ac:dyDescent="0.2">
      <c r="B237" s="473"/>
      <c r="C237" s="473"/>
      <c r="D237" s="473"/>
      <c r="E237" s="473"/>
      <c r="F237" s="473"/>
    </row>
    <row r="238" spans="2:6" x14ac:dyDescent="0.2">
      <c r="B238" s="473"/>
      <c r="C238" s="473"/>
      <c r="D238" s="473"/>
      <c r="E238" s="473"/>
      <c r="F238" s="473"/>
    </row>
    <row r="239" spans="2:6" x14ac:dyDescent="0.2">
      <c r="B239" s="473"/>
      <c r="C239" s="473"/>
      <c r="D239" s="473"/>
      <c r="E239" s="473"/>
      <c r="F239" s="473"/>
    </row>
    <row r="240" spans="2:6" x14ac:dyDescent="0.2">
      <c r="B240" s="473"/>
      <c r="C240" s="473"/>
      <c r="D240" s="473"/>
      <c r="E240" s="473"/>
      <c r="F240" s="473"/>
    </row>
    <row r="241" spans="2:6" x14ac:dyDescent="0.2">
      <c r="B241" s="473"/>
      <c r="C241" s="473"/>
      <c r="D241" s="473"/>
      <c r="E241" s="473"/>
      <c r="F241" s="473"/>
    </row>
    <row r="242" spans="2:6" x14ac:dyDescent="0.2">
      <c r="B242" s="473"/>
      <c r="C242" s="473"/>
      <c r="D242" s="473"/>
      <c r="E242" s="473"/>
      <c r="F242" s="473"/>
    </row>
    <row r="243" spans="2:6" x14ac:dyDescent="0.2">
      <c r="B243" s="473"/>
      <c r="C243" s="473"/>
      <c r="D243" s="473"/>
      <c r="E243" s="473"/>
      <c r="F243" s="473"/>
    </row>
    <row r="244" spans="2:6" x14ac:dyDescent="0.2">
      <c r="B244" s="473"/>
      <c r="C244" s="473"/>
      <c r="D244" s="473"/>
      <c r="E244" s="473"/>
      <c r="F244" s="473"/>
    </row>
    <row r="245" spans="2:6" x14ac:dyDescent="0.2">
      <c r="B245" s="473"/>
      <c r="C245" s="473"/>
      <c r="D245" s="473"/>
      <c r="E245" s="473"/>
      <c r="F245" s="473"/>
    </row>
    <row r="246" spans="2:6" x14ac:dyDescent="0.2">
      <c r="B246" s="473"/>
      <c r="C246" s="473"/>
      <c r="D246" s="473"/>
      <c r="E246" s="473"/>
      <c r="F246" s="473"/>
    </row>
    <row r="247" spans="2:6" x14ac:dyDescent="0.2">
      <c r="B247" s="473"/>
      <c r="C247" s="473"/>
      <c r="D247" s="473"/>
      <c r="E247" s="473"/>
      <c r="F247" s="473"/>
    </row>
    <row r="248" spans="2:6" x14ac:dyDescent="0.2">
      <c r="B248" s="473"/>
      <c r="C248" s="473"/>
      <c r="D248" s="473"/>
      <c r="E248" s="473"/>
      <c r="F248" s="473"/>
    </row>
    <row r="249" spans="2:6" x14ac:dyDescent="0.2">
      <c r="B249" s="473"/>
      <c r="C249" s="473"/>
      <c r="D249" s="473"/>
      <c r="E249" s="473"/>
      <c r="F249" s="473"/>
    </row>
    <row r="250" spans="2:6" x14ac:dyDescent="0.2">
      <c r="B250" s="473"/>
      <c r="C250" s="473"/>
      <c r="D250" s="473"/>
      <c r="E250" s="473"/>
      <c r="F250" s="473"/>
    </row>
    <row r="251" spans="2:6" x14ac:dyDescent="0.2">
      <c r="B251" s="473"/>
      <c r="C251" s="473"/>
      <c r="D251" s="473"/>
      <c r="E251" s="473"/>
      <c r="F251" s="473"/>
    </row>
    <row r="252" spans="2:6" x14ac:dyDescent="0.2">
      <c r="B252" s="473"/>
      <c r="C252" s="473"/>
      <c r="D252" s="473"/>
      <c r="E252" s="473"/>
      <c r="F252" s="473"/>
    </row>
    <row r="253" spans="2:6" x14ac:dyDescent="0.2">
      <c r="B253" s="473"/>
      <c r="C253" s="473"/>
      <c r="D253" s="473"/>
      <c r="E253" s="473"/>
      <c r="F253" s="473"/>
    </row>
    <row r="254" spans="2:6" x14ac:dyDescent="0.2">
      <c r="B254" s="473"/>
      <c r="C254" s="473"/>
      <c r="D254" s="473"/>
      <c r="E254" s="473"/>
      <c r="F254" s="473"/>
    </row>
    <row r="255" spans="2:6" x14ac:dyDescent="0.2">
      <c r="B255" s="473"/>
      <c r="C255" s="473"/>
      <c r="D255" s="473"/>
      <c r="E255" s="473"/>
      <c r="F255" s="473"/>
    </row>
    <row r="256" spans="2:6" x14ac:dyDescent="0.2">
      <c r="B256" s="473"/>
      <c r="C256" s="473"/>
      <c r="D256" s="473"/>
      <c r="E256" s="473"/>
      <c r="F256" s="473"/>
    </row>
    <row r="257" spans="2:6" x14ac:dyDescent="0.2">
      <c r="B257" s="473"/>
      <c r="C257" s="473"/>
      <c r="D257" s="473"/>
      <c r="E257" s="473"/>
      <c r="F257" s="473"/>
    </row>
    <row r="258" spans="2:6" x14ac:dyDescent="0.2">
      <c r="B258" s="473"/>
      <c r="C258" s="473"/>
      <c r="D258" s="473"/>
      <c r="E258" s="473"/>
      <c r="F258" s="473"/>
    </row>
    <row r="259" spans="2:6" x14ac:dyDescent="0.2">
      <c r="B259" s="473"/>
      <c r="C259" s="473"/>
      <c r="D259" s="473"/>
      <c r="E259" s="473"/>
      <c r="F259" s="473"/>
    </row>
    <row r="260" spans="2:6" x14ac:dyDescent="0.2">
      <c r="B260" s="473"/>
      <c r="C260" s="473"/>
      <c r="D260" s="473"/>
      <c r="E260" s="473"/>
      <c r="F260" s="473"/>
    </row>
    <row r="261" spans="2:6" x14ac:dyDescent="0.2">
      <c r="B261" s="473"/>
      <c r="C261" s="473"/>
      <c r="D261" s="473"/>
      <c r="E261" s="473"/>
      <c r="F261" s="473"/>
    </row>
    <row r="262" spans="2:6" x14ac:dyDescent="0.2">
      <c r="B262" s="473"/>
      <c r="C262" s="473"/>
      <c r="D262" s="473"/>
      <c r="E262" s="473"/>
      <c r="F262" s="473"/>
    </row>
    <row r="263" spans="2:6" x14ac:dyDescent="0.2">
      <c r="B263" s="473"/>
      <c r="C263" s="473"/>
      <c r="D263" s="473"/>
      <c r="E263" s="473"/>
      <c r="F263" s="473"/>
    </row>
    <row r="264" spans="2:6" x14ac:dyDescent="0.2">
      <c r="B264" s="473"/>
      <c r="C264" s="473"/>
      <c r="D264" s="473"/>
      <c r="E264" s="473"/>
      <c r="F264" s="473"/>
    </row>
    <row r="265" spans="2:6" x14ac:dyDescent="0.2">
      <c r="B265" s="473"/>
      <c r="C265" s="473"/>
      <c r="D265" s="473"/>
      <c r="E265" s="473"/>
      <c r="F265" s="473"/>
    </row>
    <row r="266" spans="2:6" x14ac:dyDescent="0.2">
      <c r="B266" s="473"/>
      <c r="C266" s="473"/>
      <c r="D266" s="473"/>
      <c r="E266" s="473"/>
      <c r="F266" s="473"/>
    </row>
    <row r="267" spans="2:6" x14ac:dyDescent="0.2">
      <c r="B267" s="473"/>
      <c r="C267" s="473"/>
      <c r="D267" s="473"/>
      <c r="E267" s="473"/>
      <c r="F267" s="473"/>
    </row>
    <row r="268" spans="2:6" x14ac:dyDescent="0.2">
      <c r="B268" s="473"/>
      <c r="C268" s="473"/>
      <c r="D268" s="473"/>
      <c r="E268" s="473"/>
      <c r="F268" s="473"/>
    </row>
    <row r="269" spans="2:6" x14ac:dyDescent="0.2">
      <c r="B269" s="473"/>
      <c r="C269" s="473"/>
      <c r="D269" s="473"/>
      <c r="E269" s="473"/>
      <c r="F269" s="473"/>
    </row>
    <row r="270" spans="2:6" x14ac:dyDescent="0.2">
      <c r="B270" s="473"/>
      <c r="C270" s="473"/>
      <c r="D270" s="473"/>
      <c r="E270" s="473"/>
      <c r="F270" s="473"/>
    </row>
    <row r="271" spans="2:6" x14ac:dyDescent="0.2">
      <c r="B271" s="473"/>
      <c r="C271" s="473"/>
      <c r="D271" s="473"/>
      <c r="E271" s="473"/>
      <c r="F271" s="473"/>
    </row>
    <row r="272" spans="2:6" x14ac:dyDescent="0.2">
      <c r="B272" s="473"/>
      <c r="C272" s="473"/>
      <c r="D272" s="473"/>
      <c r="E272" s="473"/>
      <c r="F272" s="473"/>
    </row>
    <row r="273" spans="2:6" x14ac:dyDescent="0.2">
      <c r="B273" s="473"/>
      <c r="C273" s="473"/>
      <c r="D273" s="473"/>
      <c r="E273" s="473"/>
      <c r="F273" s="473"/>
    </row>
    <row r="274" spans="2:6" x14ac:dyDescent="0.2">
      <c r="B274" s="473"/>
      <c r="C274" s="473"/>
      <c r="D274" s="473"/>
      <c r="E274" s="473"/>
      <c r="F274" s="473"/>
    </row>
    <row r="275" spans="2:6" x14ac:dyDescent="0.2">
      <c r="B275" s="473"/>
      <c r="C275" s="473"/>
      <c r="D275" s="473"/>
      <c r="E275" s="473"/>
      <c r="F275" s="473"/>
    </row>
    <row r="276" spans="2:6" x14ac:dyDescent="0.2">
      <c r="B276" s="473"/>
      <c r="C276" s="473"/>
      <c r="D276" s="473"/>
      <c r="E276" s="473"/>
      <c r="F276" s="473"/>
    </row>
    <row r="277" spans="2:6" x14ac:dyDescent="0.2">
      <c r="B277" s="473"/>
      <c r="C277" s="473"/>
      <c r="D277" s="473"/>
      <c r="E277" s="473"/>
      <c r="F277" s="473"/>
    </row>
    <row r="278" spans="2:6" x14ac:dyDescent="0.2">
      <c r="B278" s="473"/>
      <c r="C278" s="473"/>
      <c r="D278" s="473"/>
      <c r="E278" s="473"/>
      <c r="F278" s="473"/>
    </row>
    <row r="279" spans="2:6" x14ac:dyDescent="0.2">
      <c r="B279" s="473"/>
      <c r="C279" s="473"/>
      <c r="D279" s="473"/>
      <c r="E279" s="473"/>
      <c r="F279" s="473"/>
    </row>
    <row r="280" spans="2:6" x14ac:dyDescent="0.2">
      <c r="B280" s="473"/>
      <c r="C280" s="473"/>
      <c r="D280" s="473"/>
      <c r="E280" s="473"/>
      <c r="F280" s="473"/>
    </row>
    <row r="281" spans="2:6" x14ac:dyDescent="0.2">
      <c r="B281" s="473"/>
      <c r="C281" s="473"/>
      <c r="D281" s="473"/>
      <c r="E281" s="473"/>
      <c r="F281" s="473"/>
    </row>
    <row r="282" spans="2:6" x14ac:dyDescent="0.2">
      <c r="B282" s="473"/>
      <c r="C282" s="473"/>
      <c r="D282" s="473"/>
      <c r="E282" s="473"/>
      <c r="F282" s="473"/>
    </row>
    <row r="283" spans="2:6" x14ac:dyDescent="0.2">
      <c r="B283" s="473"/>
      <c r="C283" s="473"/>
      <c r="D283" s="473"/>
      <c r="E283" s="473"/>
      <c r="F283" s="473"/>
    </row>
    <row r="284" spans="2:6" x14ac:dyDescent="0.2">
      <c r="B284" s="473"/>
      <c r="C284" s="473"/>
      <c r="D284" s="473"/>
      <c r="E284" s="473"/>
      <c r="F284" s="473"/>
    </row>
    <row r="285" spans="2:6" x14ac:dyDescent="0.2">
      <c r="B285" s="473"/>
      <c r="C285" s="473"/>
      <c r="D285" s="473"/>
      <c r="E285" s="473"/>
      <c r="F285" s="473"/>
    </row>
    <row r="286" spans="2:6" x14ac:dyDescent="0.2">
      <c r="B286" s="473"/>
      <c r="C286" s="473"/>
      <c r="D286" s="473"/>
      <c r="E286" s="473"/>
      <c r="F286" s="473"/>
    </row>
    <row r="287" spans="2:6" x14ac:dyDescent="0.2">
      <c r="B287" s="473"/>
      <c r="C287" s="473"/>
      <c r="D287" s="473"/>
      <c r="E287" s="473"/>
      <c r="F287" s="473"/>
    </row>
    <row r="288" spans="2:6" x14ac:dyDescent="0.2">
      <c r="B288" s="473"/>
      <c r="C288" s="473"/>
      <c r="D288" s="473"/>
      <c r="E288" s="473"/>
      <c r="F288" s="473"/>
    </row>
    <row r="289" spans="2:6" x14ac:dyDescent="0.2">
      <c r="B289" s="473"/>
      <c r="C289" s="473"/>
      <c r="D289" s="473"/>
      <c r="E289" s="473"/>
      <c r="F289" s="473"/>
    </row>
    <row r="290" spans="2:6" x14ac:dyDescent="0.2">
      <c r="B290" s="473"/>
      <c r="C290" s="473"/>
      <c r="D290" s="473"/>
      <c r="E290" s="473"/>
      <c r="F290" s="473"/>
    </row>
    <row r="291" spans="2:6" x14ac:dyDescent="0.2">
      <c r="B291" s="473"/>
      <c r="C291" s="473"/>
      <c r="D291" s="473"/>
      <c r="E291" s="473"/>
      <c r="F291" s="473"/>
    </row>
    <row r="292" spans="2:6" x14ac:dyDescent="0.2">
      <c r="B292" s="473"/>
      <c r="C292" s="473"/>
      <c r="D292" s="473"/>
      <c r="E292" s="473"/>
      <c r="F292" s="473"/>
    </row>
    <row r="293" spans="2:6" x14ac:dyDescent="0.2">
      <c r="B293" s="473"/>
      <c r="C293" s="473"/>
      <c r="D293" s="473"/>
      <c r="E293" s="473"/>
      <c r="F293" s="473"/>
    </row>
    <row r="294" spans="2:6" x14ac:dyDescent="0.2">
      <c r="B294" s="473"/>
      <c r="C294" s="473"/>
      <c r="D294" s="473"/>
      <c r="E294" s="473"/>
      <c r="F294" s="473"/>
    </row>
    <row r="295" spans="2:6" x14ac:dyDescent="0.2">
      <c r="B295" s="473"/>
      <c r="C295" s="473"/>
      <c r="D295" s="473"/>
      <c r="E295" s="473"/>
      <c r="F295" s="473"/>
    </row>
    <row r="296" spans="2:6" x14ac:dyDescent="0.2">
      <c r="B296" s="473"/>
      <c r="C296" s="473"/>
      <c r="D296" s="473"/>
      <c r="E296" s="473"/>
      <c r="F296" s="473"/>
    </row>
    <row r="297" spans="2:6" x14ac:dyDescent="0.2">
      <c r="B297" s="473"/>
      <c r="C297" s="473"/>
      <c r="D297" s="473"/>
      <c r="E297" s="473"/>
      <c r="F297" s="473"/>
    </row>
    <row r="298" spans="2:6" x14ac:dyDescent="0.2">
      <c r="B298" s="473"/>
      <c r="C298" s="473"/>
      <c r="D298" s="473"/>
      <c r="E298" s="473"/>
      <c r="F298" s="473"/>
    </row>
    <row r="299" spans="2:6" x14ac:dyDescent="0.2">
      <c r="B299" s="473"/>
      <c r="C299" s="473"/>
      <c r="D299" s="473"/>
      <c r="E299" s="473"/>
      <c r="F299" s="473"/>
    </row>
    <row r="300" spans="2:6" x14ac:dyDescent="0.2">
      <c r="B300" s="473"/>
      <c r="C300" s="473"/>
      <c r="D300" s="473"/>
      <c r="E300" s="473"/>
      <c r="F300" s="473"/>
    </row>
    <row r="301" spans="2:6" x14ac:dyDescent="0.2">
      <c r="B301" s="473"/>
      <c r="C301" s="473"/>
      <c r="D301" s="473"/>
      <c r="E301" s="473"/>
      <c r="F301" s="473"/>
    </row>
    <row r="302" spans="2:6" x14ac:dyDescent="0.2">
      <c r="B302" s="473"/>
      <c r="C302" s="473"/>
      <c r="D302" s="473"/>
      <c r="E302" s="473"/>
      <c r="F302" s="473"/>
    </row>
    <row r="303" spans="2:6" x14ac:dyDescent="0.2">
      <c r="B303" s="473"/>
      <c r="C303" s="473"/>
      <c r="D303" s="473"/>
      <c r="E303" s="473"/>
      <c r="F303" s="473"/>
    </row>
    <row r="304" spans="2:6" x14ac:dyDescent="0.2">
      <c r="B304" s="473"/>
      <c r="C304" s="473"/>
      <c r="D304" s="473"/>
      <c r="E304" s="473"/>
      <c r="F304" s="473"/>
    </row>
    <row r="305" spans="2:6" x14ac:dyDescent="0.2">
      <c r="B305" s="473"/>
      <c r="C305" s="473"/>
      <c r="D305" s="473"/>
      <c r="E305" s="473"/>
      <c r="F305" s="473"/>
    </row>
    <row r="306" spans="2:6" x14ac:dyDescent="0.2">
      <c r="B306" s="473"/>
      <c r="C306" s="473"/>
      <c r="D306" s="473"/>
      <c r="E306" s="473"/>
      <c r="F306" s="473"/>
    </row>
    <row r="307" spans="2:6" x14ac:dyDescent="0.2">
      <c r="B307" s="473"/>
      <c r="C307" s="473"/>
      <c r="D307" s="473"/>
      <c r="E307" s="473"/>
      <c r="F307" s="473"/>
    </row>
    <row r="308" spans="2:6" x14ac:dyDescent="0.2">
      <c r="B308" s="473"/>
      <c r="C308" s="473"/>
      <c r="D308" s="473"/>
      <c r="E308" s="473"/>
      <c r="F308" s="473"/>
    </row>
    <row r="309" spans="2:6" x14ac:dyDescent="0.2">
      <c r="B309" s="473"/>
      <c r="C309" s="473"/>
      <c r="D309" s="473"/>
      <c r="E309" s="473"/>
      <c r="F309" s="473"/>
    </row>
    <row r="310" spans="2:6" x14ac:dyDescent="0.2">
      <c r="B310" s="473"/>
      <c r="C310" s="473"/>
      <c r="D310" s="473"/>
      <c r="E310" s="473"/>
      <c r="F310" s="473"/>
    </row>
    <row r="311" spans="2:6" x14ac:dyDescent="0.2">
      <c r="B311" s="473"/>
      <c r="C311" s="473"/>
      <c r="D311" s="473"/>
      <c r="E311" s="473"/>
      <c r="F311" s="473"/>
    </row>
    <row r="312" spans="2:6" x14ac:dyDescent="0.2">
      <c r="B312" s="473"/>
      <c r="C312" s="473"/>
      <c r="D312" s="473"/>
      <c r="E312" s="473"/>
      <c r="F312" s="473"/>
    </row>
    <row r="313" spans="2:6" x14ac:dyDescent="0.2">
      <c r="B313" s="473"/>
      <c r="C313" s="473"/>
      <c r="D313" s="473"/>
      <c r="E313" s="473"/>
      <c r="F313" s="473"/>
    </row>
    <row r="314" spans="2:6" x14ac:dyDescent="0.2">
      <c r="B314" s="473"/>
      <c r="C314" s="473"/>
      <c r="D314" s="473"/>
      <c r="E314" s="473"/>
      <c r="F314" s="473"/>
    </row>
    <row r="315" spans="2:6" x14ac:dyDescent="0.2">
      <c r="B315" s="473"/>
      <c r="C315" s="473"/>
      <c r="D315" s="473"/>
      <c r="E315" s="473"/>
      <c r="F315" s="473"/>
    </row>
    <row r="316" spans="2:6" x14ac:dyDescent="0.2">
      <c r="B316" s="473"/>
      <c r="C316" s="473"/>
      <c r="D316" s="473"/>
      <c r="E316" s="473"/>
      <c r="F316" s="473"/>
    </row>
    <row r="317" spans="2:6" x14ac:dyDescent="0.2">
      <c r="B317" s="473"/>
      <c r="C317" s="473"/>
      <c r="D317" s="473"/>
      <c r="E317" s="473"/>
      <c r="F317" s="473"/>
    </row>
    <row r="318" spans="2:6" x14ac:dyDescent="0.2">
      <c r="B318" s="473"/>
      <c r="C318" s="473"/>
      <c r="D318" s="473"/>
      <c r="E318" s="473"/>
      <c r="F318" s="473"/>
    </row>
    <row r="319" spans="2:6" x14ac:dyDescent="0.2">
      <c r="B319" s="473"/>
      <c r="C319" s="473"/>
      <c r="D319" s="473"/>
      <c r="E319" s="473"/>
      <c r="F319" s="473"/>
    </row>
    <row r="320" spans="2:6" x14ac:dyDescent="0.2">
      <c r="B320" s="473"/>
      <c r="C320" s="473"/>
      <c r="D320" s="473"/>
      <c r="E320" s="473"/>
      <c r="F320" s="473"/>
    </row>
    <row r="321" spans="2:6" x14ac:dyDescent="0.2">
      <c r="B321" s="473"/>
      <c r="C321" s="473"/>
      <c r="D321" s="473"/>
      <c r="E321" s="473"/>
      <c r="F321" s="473"/>
    </row>
    <row r="322" spans="2:6" x14ac:dyDescent="0.2">
      <c r="B322" s="473"/>
      <c r="C322" s="473"/>
      <c r="D322" s="473"/>
      <c r="E322" s="473"/>
      <c r="F322" s="473"/>
    </row>
    <row r="323" spans="2:6" x14ac:dyDescent="0.2">
      <c r="B323" s="473"/>
      <c r="C323" s="473"/>
      <c r="D323" s="473"/>
      <c r="E323" s="473"/>
      <c r="F323" s="473"/>
    </row>
    <row r="324" spans="2:6" x14ac:dyDescent="0.2">
      <c r="B324" s="473"/>
      <c r="C324" s="473"/>
      <c r="D324" s="473"/>
      <c r="E324" s="473"/>
      <c r="F324" s="473"/>
    </row>
    <row r="325" spans="2:6" x14ac:dyDescent="0.2">
      <c r="B325" s="473"/>
      <c r="C325" s="473"/>
      <c r="D325" s="473"/>
      <c r="E325" s="473"/>
      <c r="F325" s="473"/>
    </row>
    <row r="326" spans="2:6" x14ac:dyDescent="0.2">
      <c r="B326" s="473"/>
      <c r="C326" s="473"/>
      <c r="D326" s="473"/>
      <c r="E326" s="473"/>
      <c r="F326" s="473"/>
    </row>
    <row r="327" spans="2:6" x14ac:dyDescent="0.2">
      <c r="B327" s="473"/>
      <c r="C327" s="473"/>
      <c r="D327" s="473"/>
      <c r="E327" s="473"/>
      <c r="F327" s="473"/>
    </row>
    <row r="328" spans="2:6" x14ac:dyDescent="0.2">
      <c r="B328" s="473"/>
      <c r="C328" s="473"/>
      <c r="D328" s="473"/>
      <c r="E328" s="473"/>
      <c r="F328" s="473"/>
    </row>
    <row r="329" spans="2:6" x14ac:dyDescent="0.2">
      <c r="B329" s="473"/>
      <c r="C329" s="473"/>
      <c r="D329" s="473"/>
      <c r="E329" s="473"/>
      <c r="F329" s="473"/>
    </row>
    <row r="330" spans="2:6" x14ac:dyDescent="0.2">
      <c r="B330" s="473"/>
      <c r="C330" s="473"/>
      <c r="D330" s="473"/>
      <c r="E330" s="473"/>
      <c r="F330" s="473"/>
    </row>
    <row r="331" spans="2:6" x14ac:dyDescent="0.2">
      <c r="B331" s="473"/>
      <c r="C331" s="473"/>
      <c r="D331" s="473"/>
      <c r="E331" s="473"/>
      <c r="F331" s="473"/>
    </row>
    <row r="332" spans="2:6" x14ac:dyDescent="0.2">
      <c r="B332" s="473"/>
      <c r="C332" s="473"/>
      <c r="D332" s="473"/>
      <c r="E332" s="473"/>
      <c r="F332" s="473"/>
    </row>
    <row r="333" spans="2:6" x14ac:dyDescent="0.2">
      <c r="B333" s="473"/>
      <c r="C333" s="473"/>
      <c r="D333" s="473"/>
      <c r="E333" s="473"/>
      <c r="F333" s="473"/>
    </row>
    <row r="334" spans="2:6" x14ac:dyDescent="0.2">
      <c r="B334" s="473"/>
      <c r="C334" s="473"/>
      <c r="D334" s="473"/>
      <c r="E334" s="473"/>
      <c r="F334" s="473"/>
    </row>
    <row r="335" spans="2:6" x14ac:dyDescent="0.2">
      <c r="B335" s="473"/>
      <c r="C335" s="473"/>
      <c r="D335" s="473"/>
      <c r="E335" s="473"/>
      <c r="F335" s="473"/>
    </row>
    <row r="336" spans="2:6" x14ac:dyDescent="0.2">
      <c r="B336" s="473"/>
      <c r="C336" s="473"/>
      <c r="D336" s="473"/>
      <c r="E336" s="473"/>
      <c r="F336" s="473"/>
    </row>
    <row r="337" spans="2:6" x14ac:dyDescent="0.2">
      <c r="B337" s="473"/>
      <c r="C337" s="473"/>
      <c r="D337" s="473"/>
      <c r="E337" s="473"/>
      <c r="F337" s="473"/>
    </row>
    <row r="338" spans="2:6" x14ac:dyDescent="0.2">
      <c r="B338" s="473"/>
      <c r="C338" s="473"/>
      <c r="D338" s="473"/>
      <c r="E338" s="473"/>
      <c r="F338" s="473"/>
    </row>
    <row r="339" spans="2:6" x14ac:dyDescent="0.2">
      <c r="B339" s="473"/>
      <c r="C339" s="473"/>
      <c r="D339" s="473"/>
      <c r="E339" s="473"/>
      <c r="F339" s="473"/>
    </row>
    <row r="340" spans="2:6" x14ac:dyDescent="0.2">
      <c r="B340" s="473"/>
      <c r="C340" s="473"/>
      <c r="D340" s="473"/>
      <c r="E340" s="473"/>
      <c r="F340" s="473"/>
    </row>
    <row r="341" spans="2:6" x14ac:dyDescent="0.2">
      <c r="B341" s="473"/>
      <c r="C341" s="473"/>
      <c r="D341" s="473"/>
      <c r="E341" s="473"/>
      <c r="F341" s="473"/>
    </row>
    <row r="342" spans="2:6" x14ac:dyDescent="0.2">
      <c r="B342" s="473"/>
      <c r="C342" s="473"/>
      <c r="D342" s="473"/>
      <c r="E342" s="473"/>
      <c r="F342" s="473"/>
    </row>
    <row r="343" spans="2:6" x14ac:dyDescent="0.2">
      <c r="B343" s="473"/>
      <c r="C343" s="473"/>
      <c r="D343" s="473"/>
      <c r="E343" s="473"/>
      <c r="F343" s="473"/>
    </row>
    <row r="344" spans="2:6" x14ac:dyDescent="0.2">
      <c r="B344" s="473"/>
      <c r="C344" s="473"/>
      <c r="D344" s="473"/>
      <c r="E344" s="473"/>
      <c r="F344" s="473"/>
    </row>
    <row r="345" spans="2:6" x14ac:dyDescent="0.2">
      <c r="B345" s="473"/>
      <c r="C345" s="473"/>
      <c r="D345" s="473"/>
      <c r="E345" s="473"/>
      <c r="F345" s="473"/>
    </row>
    <row r="346" spans="2:6" x14ac:dyDescent="0.2">
      <c r="B346" s="473"/>
      <c r="C346" s="473"/>
      <c r="D346" s="473"/>
      <c r="E346" s="473"/>
      <c r="F346" s="473"/>
    </row>
    <row r="347" spans="2:6" x14ac:dyDescent="0.2">
      <c r="B347" s="473"/>
      <c r="C347" s="473"/>
      <c r="D347" s="473"/>
      <c r="E347" s="473"/>
      <c r="F347" s="473"/>
    </row>
    <row r="348" spans="2:6" x14ac:dyDescent="0.2">
      <c r="B348" s="473"/>
      <c r="C348" s="473"/>
      <c r="D348" s="473"/>
      <c r="E348" s="473"/>
      <c r="F348" s="473"/>
    </row>
    <row r="349" spans="2:6" x14ac:dyDescent="0.2">
      <c r="B349" s="473"/>
      <c r="C349" s="473"/>
      <c r="D349" s="473"/>
      <c r="E349" s="473"/>
      <c r="F349" s="473"/>
    </row>
    <row r="350" spans="2:6" x14ac:dyDescent="0.2">
      <c r="B350" s="473"/>
      <c r="C350" s="473"/>
      <c r="D350" s="473"/>
      <c r="E350" s="473"/>
      <c r="F350" s="473"/>
    </row>
    <row r="351" spans="2:6" x14ac:dyDescent="0.2">
      <c r="B351" s="473"/>
      <c r="C351" s="473"/>
      <c r="D351" s="473"/>
      <c r="E351" s="473"/>
      <c r="F351" s="473"/>
    </row>
    <row r="352" spans="2:6" x14ac:dyDescent="0.2">
      <c r="B352" s="473"/>
      <c r="C352" s="473"/>
      <c r="D352" s="473"/>
      <c r="E352" s="473"/>
      <c r="F352" s="473"/>
    </row>
    <row r="353" spans="2:6" x14ac:dyDescent="0.2">
      <c r="B353" s="473"/>
      <c r="C353" s="473"/>
      <c r="D353" s="473"/>
      <c r="E353" s="473"/>
      <c r="F353" s="473"/>
    </row>
    <row r="354" spans="2:6" x14ac:dyDescent="0.2">
      <c r="B354" s="473"/>
      <c r="C354" s="473"/>
      <c r="D354" s="473"/>
      <c r="E354" s="473"/>
      <c r="F354" s="473"/>
    </row>
    <row r="355" spans="2:6" x14ac:dyDescent="0.2">
      <c r="B355" s="473"/>
      <c r="C355" s="473"/>
      <c r="D355" s="473"/>
      <c r="E355" s="473"/>
      <c r="F355" s="473"/>
    </row>
    <row r="356" spans="2:6" x14ac:dyDescent="0.2">
      <c r="B356" s="473"/>
      <c r="C356" s="473"/>
      <c r="D356" s="473"/>
      <c r="E356" s="473"/>
      <c r="F356" s="473"/>
    </row>
    <row r="357" spans="2:6" x14ac:dyDescent="0.2">
      <c r="B357" s="473"/>
      <c r="C357" s="473"/>
      <c r="D357" s="473"/>
      <c r="E357" s="473"/>
      <c r="F357" s="473"/>
    </row>
    <row r="358" spans="2:6" x14ac:dyDescent="0.2">
      <c r="B358" s="473"/>
      <c r="C358" s="473"/>
      <c r="D358" s="473"/>
      <c r="E358" s="473"/>
      <c r="F358" s="473"/>
    </row>
    <row r="359" spans="2:6" x14ac:dyDescent="0.2">
      <c r="B359" s="473"/>
      <c r="C359" s="473"/>
      <c r="D359" s="473"/>
      <c r="E359" s="473"/>
      <c r="F359" s="473"/>
    </row>
    <row r="360" spans="2:6" x14ac:dyDescent="0.2">
      <c r="B360" s="473"/>
      <c r="C360" s="473"/>
      <c r="D360" s="473"/>
      <c r="E360" s="473"/>
      <c r="F360" s="473"/>
    </row>
    <row r="361" spans="2:6" x14ac:dyDescent="0.2">
      <c r="B361" s="473"/>
      <c r="C361" s="473"/>
      <c r="D361" s="473"/>
      <c r="E361" s="473"/>
      <c r="F361" s="473"/>
    </row>
    <row r="362" spans="2:6" x14ac:dyDescent="0.2">
      <c r="B362" s="473"/>
      <c r="C362" s="473"/>
      <c r="D362" s="473"/>
      <c r="E362" s="473"/>
      <c r="F362" s="473"/>
    </row>
    <row r="363" spans="2:6" x14ac:dyDescent="0.2">
      <c r="B363" s="473"/>
      <c r="C363" s="473"/>
      <c r="D363" s="473"/>
      <c r="E363" s="473"/>
      <c r="F363" s="473"/>
    </row>
    <row r="364" spans="2:6" x14ac:dyDescent="0.2">
      <c r="B364" s="473"/>
      <c r="C364" s="473"/>
      <c r="D364" s="473"/>
      <c r="E364" s="473"/>
      <c r="F364" s="473"/>
    </row>
    <row r="365" spans="2:6" x14ac:dyDescent="0.2">
      <c r="B365" s="473"/>
      <c r="C365" s="473"/>
      <c r="D365" s="473"/>
      <c r="E365" s="473"/>
      <c r="F365" s="473"/>
    </row>
    <row r="366" spans="2:6" x14ac:dyDescent="0.2">
      <c r="B366" s="473"/>
      <c r="C366" s="473"/>
      <c r="D366" s="473"/>
      <c r="E366" s="473"/>
      <c r="F366" s="473"/>
    </row>
    <row r="367" spans="2:6" x14ac:dyDescent="0.2">
      <c r="B367" s="473"/>
      <c r="C367" s="473"/>
      <c r="D367" s="473"/>
      <c r="E367" s="473"/>
      <c r="F367" s="473"/>
    </row>
    <row r="368" spans="2:6" x14ac:dyDescent="0.2">
      <c r="B368" s="473"/>
      <c r="C368" s="473"/>
      <c r="D368" s="473"/>
      <c r="E368" s="473"/>
      <c r="F368" s="473"/>
    </row>
    <row r="369" spans="2:6" x14ac:dyDescent="0.2">
      <c r="B369" s="473"/>
      <c r="C369" s="473"/>
      <c r="D369" s="473"/>
      <c r="E369" s="473"/>
      <c r="F369" s="473"/>
    </row>
    <row r="370" spans="2:6" x14ac:dyDescent="0.2">
      <c r="B370" s="473"/>
      <c r="C370" s="473"/>
      <c r="D370" s="473"/>
      <c r="E370" s="473"/>
      <c r="F370" s="473"/>
    </row>
    <row r="371" spans="2:6" x14ac:dyDescent="0.2">
      <c r="B371" s="473"/>
      <c r="C371" s="473"/>
      <c r="D371" s="473"/>
      <c r="E371" s="473"/>
      <c r="F371" s="473"/>
    </row>
    <row r="372" spans="2:6" x14ac:dyDescent="0.2">
      <c r="B372" s="473"/>
      <c r="C372" s="473"/>
      <c r="D372" s="473"/>
      <c r="E372" s="473"/>
      <c r="F372" s="473"/>
    </row>
    <row r="373" spans="2:6" x14ac:dyDescent="0.2">
      <c r="B373" s="473"/>
      <c r="C373" s="473"/>
      <c r="D373" s="473"/>
      <c r="E373" s="473"/>
      <c r="F373" s="473"/>
    </row>
    <row r="374" spans="2:6" x14ac:dyDescent="0.2">
      <c r="B374" s="473"/>
      <c r="C374" s="473"/>
      <c r="D374" s="473"/>
      <c r="E374" s="473"/>
      <c r="F374" s="473"/>
    </row>
    <row r="375" spans="2:6" x14ac:dyDescent="0.2">
      <c r="B375" s="473"/>
      <c r="C375" s="473"/>
      <c r="D375" s="473"/>
      <c r="E375" s="473"/>
      <c r="F375" s="473"/>
    </row>
    <row r="376" spans="2:6" x14ac:dyDescent="0.2">
      <c r="B376" s="473"/>
      <c r="C376" s="473"/>
      <c r="D376" s="473"/>
      <c r="E376" s="473"/>
      <c r="F376" s="473"/>
    </row>
    <row r="377" spans="2:6" x14ac:dyDescent="0.2">
      <c r="B377" s="473"/>
      <c r="C377" s="473"/>
      <c r="D377" s="473"/>
      <c r="E377" s="473"/>
      <c r="F377" s="473"/>
    </row>
    <row r="378" spans="2:6" x14ac:dyDescent="0.2">
      <c r="B378" s="473"/>
      <c r="C378" s="473"/>
      <c r="D378" s="473"/>
      <c r="E378" s="473"/>
      <c r="F378" s="473"/>
    </row>
    <row r="379" spans="2:6" x14ac:dyDescent="0.2">
      <c r="B379" s="473"/>
      <c r="C379" s="473"/>
      <c r="D379" s="473"/>
      <c r="E379" s="473"/>
      <c r="F379" s="473"/>
    </row>
    <row r="380" spans="2:6" x14ac:dyDescent="0.2">
      <c r="B380" s="473"/>
      <c r="C380" s="473"/>
      <c r="D380" s="473"/>
      <c r="E380" s="473"/>
      <c r="F380" s="473"/>
    </row>
    <row r="381" spans="2:6" x14ac:dyDescent="0.2">
      <c r="B381" s="473"/>
      <c r="C381" s="473"/>
      <c r="D381" s="473"/>
      <c r="E381" s="473"/>
      <c r="F381" s="473"/>
    </row>
    <row r="382" spans="2:6" x14ac:dyDescent="0.2">
      <c r="B382" s="473"/>
      <c r="C382" s="473"/>
      <c r="D382" s="473"/>
      <c r="E382" s="473"/>
      <c r="F382" s="473"/>
    </row>
    <row r="383" spans="2:6" x14ac:dyDescent="0.2">
      <c r="B383" s="473"/>
      <c r="C383" s="473"/>
      <c r="D383" s="473"/>
      <c r="E383" s="473"/>
      <c r="F383" s="473"/>
    </row>
    <row r="384" spans="2:6" x14ac:dyDescent="0.2">
      <c r="B384" s="473"/>
      <c r="C384" s="473"/>
      <c r="D384" s="473"/>
      <c r="E384" s="473"/>
      <c r="F384" s="473"/>
    </row>
    <row r="385" spans="2:6" x14ac:dyDescent="0.2">
      <c r="B385" s="473"/>
      <c r="C385" s="473"/>
      <c r="D385" s="473"/>
      <c r="E385" s="473"/>
      <c r="F385" s="473"/>
    </row>
    <row r="386" spans="2:6" x14ac:dyDescent="0.2">
      <c r="B386" s="473"/>
      <c r="C386" s="473"/>
      <c r="D386" s="473"/>
      <c r="E386" s="473"/>
      <c r="F386" s="473"/>
    </row>
    <row r="387" spans="2:6" x14ac:dyDescent="0.2">
      <c r="B387" s="473"/>
      <c r="C387" s="473"/>
      <c r="D387" s="473"/>
      <c r="E387" s="473"/>
      <c r="F387" s="473"/>
    </row>
    <row r="388" spans="2:6" x14ac:dyDescent="0.2">
      <c r="B388" s="473"/>
      <c r="C388" s="473"/>
      <c r="D388" s="473"/>
      <c r="E388" s="473"/>
      <c r="F388" s="473"/>
    </row>
    <row r="389" spans="2:6" x14ac:dyDescent="0.2">
      <c r="B389" s="473"/>
      <c r="C389" s="473"/>
      <c r="D389" s="473"/>
      <c r="E389" s="473"/>
      <c r="F389" s="473"/>
    </row>
    <row r="390" spans="2:6" x14ac:dyDescent="0.2">
      <c r="B390" s="473"/>
      <c r="C390" s="473"/>
      <c r="D390" s="473"/>
      <c r="E390" s="473"/>
      <c r="F390" s="473"/>
    </row>
    <row r="391" spans="2:6" x14ac:dyDescent="0.2">
      <c r="B391" s="473"/>
      <c r="C391" s="473"/>
      <c r="D391" s="473"/>
      <c r="E391" s="473"/>
      <c r="F391" s="473"/>
    </row>
    <row r="392" spans="2:6" x14ac:dyDescent="0.2">
      <c r="B392" s="473"/>
      <c r="C392" s="473"/>
      <c r="D392" s="473"/>
      <c r="E392" s="473"/>
      <c r="F392" s="473"/>
    </row>
    <row r="393" spans="2:6" x14ac:dyDescent="0.2">
      <c r="B393" s="473"/>
      <c r="C393" s="473"/>
      <c r="D393" s="473"/>
      <c r="E393" s="473"/>
      <c r="F393" s="473"/>
    </row>
    <row r="394" spans="2:6" x14ac:dyDescent="0.2">
      <c r="B394" s="473"/>
      <c r="C394" s="473"/>
      <c r="D394" s="473"/>
      <c r="E394" s="473"/>
      <c r="F394" s="473"/>
    </row>
    <row r="395" spans="2:6" x14ac:dyDescent="0.2">
      <c r="B395" s="473"/>
      <c r="C395" s="473"/>
      <c r="D395" s="473"/>
      <c r="E395" s="473"/>
      <c r="F395" s="473"/>
    </row>
    <row r="396" spans="2:6" x14ac:dyDescent="0.2">
      <c r="B396" s="473"/>
      <c r="C396" s="473"/>
      <c r="D396" s="473"/>
      <c r="E396" s="473"/>
      <c r="F396" s="473"/>
    </row>
    <row r="397" spans="2:6" x14ac:dyDescent="0.2">
      <c r="B397" s="473"/>
      <c r="C397" s="473"/>
      <c r="D397" s="473"/>
      <c r="E397" s="473"/>
      <c r="F397" s="473"/>
    </row>
    <row r="398" spans="2:6" x14ac:dyDescent="0.2">
      <c r="B398" s="473"/>
      <c r="C398" s="473"/>
      <c r="D398" s="473"/>
      <c r="E398" s="473"/>
      <c r="F398" s="473"/>
    </row>
    <row r="399" spans="2:6" x14ac:dyDescent="0.2">
      <c r="B399" s="473"/>
      <c r="C399" s="473"/>
      <c r="D399" s="473"/>
      <c r="E399" s="473"/>
      <c r="F399" s="473"/>
    </row>
    <row r="400" spans="2:6" x14ac:dyDescent="0.2">
      <c r="B400" s="473"/>
      <c r="C400" s="473"/>
      <c r="D400" s="473"/>
      <c r="E400" s="473"/>
      <c r="F400" s="473"/>
    </row>
    <row r="401" spans="2:6" x14ac:dyDescent="0.2">
      <c r="B401" s="473"/>
      <c r="C401" s="473"/>
      <c r="D401" s="473"/>
      <c r="E401" s="473"/>
      <c r="F401" s="473"/>
    </row>
    <row r="402" spans="2:6" x14ac:dyDescent="0.2">
      <c r="B402" s="473"/>
      <c r="C402" s="473"/>
      <c r="D402" s="473"/>
      <c r="E402" s="473"/>
      <c r="F402" s="473"/>
    </row>
    <row r="403" spans="2:6" x14ac:dyDescent="0.2">
      <c r="B403" s="473"/>
      <c r="C403" s="473"/>
      <c r="D403" s="473"/>
      <c r="E403" s="473"/>
      <c r="F403" s="473"/>
    </row>
    <row r="404" spans="2:6" x14ac:dyDescent="0.2">
      <c r="B404" s="473"/>
      <c r="C404" s="473"/>
      <c r="D404" s="473"/>
      <c r="E404" s="473"/>
      <c r="F404" s="473"/>
    </row>
    <row r="405" spans="2:6" x14ac:dyDescent="0.2">
      <c r="B405" s="473"/>
      <c r="C405" s="473"/>
      <c r="D405" s="473"/>
      <c r="E405" s="473"/>
      <c r="F405" s="473"/>
    </row>
    <row r="406" spans="2:6" x14ac:dyDescent="0.2">
      <c r="B406" s="473"/>
      <c r="C406" s="473"/>
      <c r="D406" s="473"/>
      <c r="E406" s="473"/>
      <c r="F406" s="473"/>
    </row>
    <row r="407" spans="2:6" x14ac:dyDescent="0.2">
      <c r="B407" s="473"/>
      <c r="C407" s="473"/>
      <c r="D407" s="473"/>
      <c r="E407" s="473"/>
      <c r="F407" s="473"/>
    </row>
    <row r="408" spans="2:6" x14ac:dyDescent="0.2">
      <c r="B408" s="473"/>
      <c r="C408" s="473"/>
      <c r="D408" s="473"/>
      <c r="E408" s="473"/>
      <c r="F408" s="473"/>
    </row>
    <row r="409" spans="2:6" x14ac:dyDescent="0.2">
      <c r="B409" s="473"/>
      <c r="C409" s="473"/>
      <c r="D409" s="473"/>
      <c r="E409" s="473"/>
      <c r="F409" s="473"/>
    </row>
    <row r="410" spans="2:6" x14ac:dyDescent="0.2">
      <c r="B410" s="473"/>
      <c r="C410" s="473"/>
      <c r="D410" s="473"/>
      <c r="E410" s="473"/>
      <c r="F410" s="473"/>
    </row>
    <row r="411" spans="2:6" x14ac:dyDescent="0.2">
      <c r="B411" s="473"/>
      <c r="C411" s="473"/>
      <c r="D411" s="473"/>
      <c r="E411" s="473"/>
      <c r="F411" s="473"/>
    </row>
    <row r="412" spans="2:6" x14ac:dyDescent="0.2">
      <c r="B412" s="473"/>
      <c r="C412" s="473"/>
      <c r="D412" s="473"/>
      <c r="E412" s="473"/>
      <c r="F412" s="473"/>
    </row>
    <row r="413" spans="2:6" x14ac:dyDescent="0.2">
      <c r="B413" s="473"/>
      <c r="C413" s="473"/>
      <c r="D413" s="473"/>
      <c r="E413" s="473"/>
      <c r="F413" s="473"/>
    </row>
    <row r="414" spans="2:6" x14ac:dyDescent="0.2">
      <c r="B414" s="473"/>
      <c r="C414" s="473"/>
      <c r="D414" s="473"/>
      <c r="E414" s="473"/>
      <c r="F414" s="473"/>
    </row>
    <row r="415" spans="2:6" x14ac:dyDescent="0.2">
      <c r="B415" s="473"/>
      <c r="C415" s="473"/>
      <c r="D415" s="473"/>
      <c r="E415" s="473"/>
      <c r="F415" s="473"/>
    </row>
    <row r="416" spans="2:6" x14ac:dyDescent="0.2">
      <c r="B416" s="473"/>
      <c r="C416" s="473"/>
      <c r="D416" s="473"/>
      <c r="E416" s="473"/>
      <c r="F416" s="473"/>
    </row>
    <row r="417" spans="2:6" x14ac:dyDescent="0.2">
      <c r="B417" s="473"/>
      <c r="C417" s="473"/>
      <c r="D417" s="473"/>
      <c r="E417" s="473"/>
      <c r="F417" s="473"/>
    </row>
    <row r="418" spans="2:6" x14ac:dyDescent="0.2">
      <c r="B418" s="473"/>
      <c r="C418" s="473"/>
      <c r="D418" s="473"/>
      <c r="E418" s="473"/>
      <c r="F418" s="473"/>
    </row>
    <row r="419" spans="2:6" x14ac:dyDescent="0.2">
      <c r="B419" s="473"/>
      <c r="C419" s="473"/>
      <c r="D419" s="473"/>
      <c r="E419" s="473"/>
      <c r="F419" s="473"/>
    </row>
    <row r="420" spans="2:6" x14ac:dyDescent="0.2">
      <c r="B420" s="473"/>
      <c r="C420" s="473"/>
      <c r="D420" s="473"/>
      <c r="E420" s="473"/>
      <c r="F420" s="473"/>
    </row>
    <row r="421" spans="2:6" x14ac:dyDescent="0.2">
      <c r="B421" s="473"/>
      <c r="C421" s="473"/>
      <c r="D421" s="473"/>
      <c r="E421" s="473"/>
      <c r="F421" s="473"/>
    </row>
    <row r="422" spans="2:6" x14ac:dyDescent="0.2">
      <c r="B422" s="473"/>
      <c r="C422" s="473"/>
      <c r="D422" s="473"/>
      <c r="E422" s="473"/>
      <c r="F422" s="473"/>
    </row>
    <row r="423" spans="2:6" x14ac:dyDescent="0.2">
      <c r="B423" s="473"/>
      <c r="C423" s="473"/>
      <c r="D423" s="473"/>
      <c r="E423" s="473"/>
      <c r="F423" s="473"/>
    </row>
    <row r="424" spans="2:6" x14ac:dyDescent="0.2">
      <c r="B424" s="473"/>
      <c r="C424" s="473"/>
      <c r="D424" s="473"/>
      <c r="E424" s="473"/>
      <c r="F424" s="473"/>
    </row>
    <row r="425" spans="2:6" x14ac:dyDescent="0.2">
      <c r="B425" s="473"/>
      <c r="C425" s="473"/>
      <c r="D425" s="473"/>
      <c r="E425" s="473"/>
      <c r="F425" s="473"/>
    </row>
    <row r="426" spans="2:6" x14ac:dyDescent="0.2">
      <c r="B426" s="473"/>
      <c r="C426" s="473"/>
      <c r="D426" s="473"/>
      <c r="E426" s="473"/>
      <c r="F426" s="473"/>
    </row>
    <row r="427" spans="2:6" x14ac:dyDescent="0.2">
      <c r="B427" s="473"/>
      <c r="C427" s="473"/>
      <c r="D427" s="473"/>
      <c r="E427" s="473"/>
      <c r="F427" s="473"/>
    </row>
    <row r="428" spans="2:6" x14ac:dyDescent="0.2">
      <c r="B428" s="473"/>
      <c r="C428" s="473"/>
      <c r="D428" s="473"/>
      <c r="E428" s="473"/>
      <c r="F428" s="473"/>
    </row>
    <row r="429" spans="2:6" x14ac:dyDescent="0.2">
      <c r="B429" s="473"/>
      <c r="C429" s="473"/>
      <c r="D429" s="473"/>
      <c r="E429" s="473"/>
      <c r="F429" s="473"/>
    </row>
    <row r="430" spans="2:6" x14ac:dyDescent="0.2">
      <c r="B430" s="473"/>
      <c r="C430" s="473"/>
      <c r="D430" s="473"/>
      <c r="E430" s="473"/>
      <c r="F430" s="473"/>
    </row>
    <row r="431" spans="2:6" x14ac:dyDescent="0.2">
      <c r="B431" s="473"/>
      <c r="C431" s="473"/>
      <c r="D431" s="473"/>
      <c r="E431" s="473"/>
      <c r="F431" s="473"/>
    </row>
    <row r="432" spans="2:6" x14ac:dyDescent="0.2">
      <c r="B432" s="473"/>
      <c r="C432" s="473"/>
      <c r="D432" s="473"/>
      <c r="E432" s="473"/>
      <c r="F432" s="473"/>
    </row>
    <row r="433" spans="2:6" x14ac:dyDescent="0.2">
      <c r="B433" s="473"/>
      <c r="C433" s="473"/>
      <c r="D433" s="473"/>
      <c r="E433" s="473"/>
      <c r="F433" s="473"/>
    </row>
    <row r="434" spans="2:6" x14ac:dyDescent="0.2">
      <c r="B434" s="473"/>
      <c r="C434" s="473"/>
      <c r="D434" s="473"/>
      <c r="E434" s="473"/>
      <c r="F434" s="473"/>
    </row>
    <row r="435" spans="2:6" x14ac:dyDescent="0.2">
      <c r="B435" s="473"/>
      <c r="C435" s="473"/>
      <c r="D435" s="473"/>
      <c r="E435" s="473"/>
      <c r="F435" s="473"/>
    </row>
    <row r="436" spans="2:6" x14ac:dyDescent="0.2">
      <c r="B436" s="473"/>
      <c r="C436" s="473"/>
      <c r="D436" s="473"/>
      <c r="E436" s="473"/>
      <c r="F436" s="473"/>
    </row>
    <row r="437" spans="2:6" x14ac:dyDescent="0.2">
      <c r="B437" s="473"/>
      <c r="C437" s="473"/>
      <c r="D437" s="473"/>
      <c r="E437" s="473"/>
      <c r="F437" s="473"/>
    </row>
    <row r="438" spans="2:6" x14ac:dyDescent="0.2">
      <c r="B438" s="473"/>
      <c r="C438" s="473"/>
      <c r="D438" s="473"/>
      <c r="E438" s="473"/>
      <c r="F438" s="473"/>
    </row>
    <row r="439" spans="2:6" x14ac:dyDescent="0.2">
      <c r="B439" s="473"/>
      <c r="C439" s="473"/>
      <c r="D439" s="473"/>
      <c r="E439" s="473"/>
      <c r="F439" s="473"/>
    </row>
    <row r="440" spans="2:6" x14ac:dyDescent="0.2">
      <c r="B440" s="473"/>
      <c r="C440" s="473"/>
      <c r="D440" s="473"/>
      <c r="E440" s="473"/>
      <c r="F440" s="473"/>
    </row>
    <row r="441" spans="2:6" x14ac:dyDescent="0.2">
      <c r="B441" s="473"/>
      <c r="C441" s="473"/>
      <c r="D441" s="473"/>
      <c r="E441" s="473"/>
      <c r="F441" s="473"/>
    </row>
    <row r="442" spans="2:6" x14ac:dyDescent="0.2">
      <c r="B442" s="473"/>
      <c r="C442" s="473"/>
      <c r="D442" s="473"/>
      <c r="E442" s="473"/>
      <c r="F442" s="473"/>
    </row>
    <row r="443" spans="2:6" x14ac:dyDescent="0.2">
      <c r="B443" s="473"/>
      <c r="C443" s="473"/>
      <c r="D443" s="473"/>
      <c r="E443" s="473"/>
      <c r="F443" s="473"/>
    </row>
    <row r="444" spans="2:6" x14ac:dyDescent="0.2">
      <c r="B444" s="473"/>
      <c r="C444" s="473"/>
      <c r="D444" s="473"/>
      <c r="E444" s="473"/>
      <c r="F444" s="473"/>
    </row>
    <row r="445" spans="2:6" x14ac:dyDescent="0.2">
      <c r="B445" s="473"/>
      <c r="C445" s="473"/>
      <c r="D445" s="473"/>
      <c r="E445" s="473"/>
      <c r="F445" s="473"/>
    </row>
    <row r="446" spans="2:6" x14ac:dyDescent="0.2">
      <c r="B446" s="473"/>
      <c r="C446" s="473"/>
      <c r="D446" s="473"/>
      <c r="E446" s="473"/>
      <c r="F446" s="473"/>
    </row>
    <row r="447" spans="2:6" x14ac:dyDescent="0.2">
      <c r="B447" s="473"/>
      <c r="C447" s="473"/>
      <c r="D447" s="473"/>
      <c r="E447" s="473"/>
      <c r="F447" s="473"/>
    </row>
    <row r="448" spans="2:6" x14ac:dyDescent="0.2">
      <c r="B448" s="473"/>
      <c r="C448" s="473"/>
      <c r="D448" s="473"/>
      <c r="E448" s="473"/>
      <c r="F448" s="473"/>
    </row>
    <row r="449" spans="2:6" x14ac:dyDescent="0.2">
      <c r="B449" s="473"/>
      <c r="C449" s="473"/>
      <c r="D449" s="473"/>
      <c r="E449" s="473"/>
      <c r="F449" s="473"/>
    </row>
    <row r="450" spans="2:6" x14ac:dyDescent="0.2">
      <c r="B450" s="473"/>
      <c r="C450" s="473"/>
      <c r="D450" s="473"/>
      <c r="E450" s="473"/>
      <c r="F450" s="473"/>
    </row>
    <row r="451" spans="2:6" x14ac:dyDescent="0.2">
      <c r="B451" s="473"/>
      <c r="C451" s="473"/>
      <c r="D451" s="473"/>
      <c r="E451" s="473"/>
      <c r="F451" s="473"/>
    </row>
    <row r="452" spans="2:6" x14ac:dyDescent="0.2">
      <c r="B452" s="473"/>
      <c r="C452" s="473"/>
      <c r="D452" s="473"/>
      <c r="E452" s="473"/>
      <c r="F452" s="473"/>
    </row>
    <row r="453" spans="2:6" x14ac:dyDescent="0.2">
      <c r="B453" s="473"/>
      <c r="C453" s="473"/>
      <c r="D453" s="473"/>
      <c r="E453" s="473"/>
      <c r="F453" s="473"/>
    </row>
    <row r="454" spans="2:6" x14ac:dyDescent="0.2">
      <c r="B454" s="473"/>
      <c r="C454" s="473"/>
      <c r="D454" s="473"/>
      <c r="E454" s="473"/>
      <c r="F454" s="473"/>
    </row>
    <row r="455" spans="2:6" x14ac:dyDescent="0.2">
      <c r="B455" s="473"/>
      <c r="C455" s="473"/>
      <c r="D455" s="473"/>
      <c r="E455" s="473"/>
      <c r="F455" s="473"/>
    </row>
    <row r="456" spans="2:6" x14ac:dyDescent="0.2">
      <c r="B456" s="473"/>
      <c r="C456" s="473"/>
      <c r="D456" s="473"/>
      <c r="E456" s="473"/>
      <c r="F456" s="473"/>
    </row>
    <row r="457" spans="2:6" x14ac:dyDescent="0.2">
      <c r="B457" s="473"/>
      <c r="C457" s="473"/>
      <c r="D457" s="473"/>
      <c r="E457" s="473"/>
      <c r="F457" s="473"/>
    </row>
    <row r="458" spans="2:6" x14ac:dyDescent="0.2">
      <c r="B458" s="473"/>
      <c r="C458" s="473"/>
      <c r="D458" s="473"/>
      <c r="E458" s="473"/>
      <c r="F458" s="473"/>
    </row>
    <row r="459" spans="2:6" x14ac:dyDescent="0.2">
      <c r="B459" s="473"/>
      <c r="C459" s="473"/>
      <c r="D459" s="473"/>
      <c r="E459" s="473"/>
      <c r="F459" s="473"/>
    </row>
    <row r="460" spans="2:6" x14ac:dyDescent="0.2">
      <c r="B460" s="473"/>
      <c r="C460" s="473"/>
      <c r="D460" s="473"/>
      <c r="E460" s="473"/>
      <c r="F460" s="473"/>
    </row>
    <row r="461" spans="2:6" x14ac:dyDescent="0.2">
      <c r="B461" s="473"/>
      <c r="C461" s="473"/>
      <c r="D461" s="473"/>
      <c r="E461" s="473"/>
      <c r="F461" s="473"/>
    </row>
    <row r="462" spans="2:6" x14ac:dyDescent="0.2">
      <c r="B462" s="473"/>
      <c r="C462" s="473"/>
      <c r="D462" s="473"/>
      <c r="E462" s="473"/>
      <c r="F462" s="473"/>
    </row>
    <row r="463" spans="2:6" x14ac:dyDescent="0.2">
      <c r="B463" s="473"/>
      <c r="C463" s="473"/>
      <c r="D463" s="473"/>
      <c r="E463" s="473"/>
      <c r="F463" s="473"/>
    </row>
    <row r="464" spans="2:6" x14ac:dyDescent="0.2">
      <c r="B464" s="473"/>
      <c r="C464" s="473"/>
      <c r="D464" s="473"/>
      <c r="E464" s="473"/>
      <c r="F464" s="473"/>
    </row>
    <row r="465" spans="2:6" x14ac:dyDescent="0.2">
      <c r="B465" s="473"/>
      <c r="C465" s="473"/>
      <c r="D465" s="473"/>
      <c r="E465" s="473"/>
      <c r="F465" s="473"/>
    </row>
    <row r="466" spans="2:6" x14ac:dyDescent="0.2">
      <c r="B466" s="473"/>
      <c r="C466" s="473"/>
      <c r="D466" s="473"/>
      <c r="E466" s="473"/>
      <c r="F466" s="473"/>
    </row>
    <row r="467" spans="2:6" x14ac:dyDescent="0.2">
      <c r="B467" s="473"/>
      <c r="C467" s="473"/>
      <c r="D467" s="473"/>
      <c r="E467" s="473"/>
      <c r="F467" s="473"/>
    </row>
    <row r="468" spans="2:6" x14ac:dyDescent="0.2">
      <c r="B468" s="473"/>
      <c r="C468" s="473"/>
      <c r="D468" s="473"/>
      <c r="E468" s="473"/>
      <c r="F468" s="473"/>
    </row>
    <row r="469" spans="2:6" x14ac:dyDescent="0.2">
      <c r="B469" s="473"/>
      <c r="C469" s="473"/>
      <c r="D469" s="473"/>
      <c r="E469" s="473"/>
      <c r="F469" s="473"/>
    </row>
    <row r="470" spans="2:6" x14ac:dyDescent="0.2">
      <c r="B470" s="473"/>
      <c r="C470" s="473"/>
      <c r="D470" s="473"/>
      <c r="E470" s="473"/>
      <c r="F470" s="473"/>
    </row>
    <row r="471" spans="2:6" x14ac:dyDescent="0.2">
      <c r="B471" s="473"/>
      <c r="C471" s="473"/>
      <c r="D471" s="473"/>
      <c r="E471" s="473"/>
      <c r="F471" s="473"/>
    </row>
    <row r="472" spans="2:6" x14ac:dyDescent="0.2">
      <c r="B472" s="473"/>
      <c r="C472" s="473"/>
      <c r="D472" s="473"/>
      <c r="E472" s="473"/>
      <c r="F472" s="473"/>
    </row>
    <row r="473" spans="2:6" x14ac:dyDescent="0.2">
      <c r="B473" s="473"/>
      <c r="C473" s="473"/>
      <c r="D473" s="473"/>
      <c r="E473" s="473"/>
      <c r="F473" s="473"/>
    </row>
    <row r="474" spans="2:6" x14ac:dyDescent="0.2">
      <c r="B474" s="473"/>
      <c r="C474" s="473"/>
      <c r="D474" s="473"/>
      <c r="E474" s="473"/>
      <c r="F474" s="473"/>
    </row>
    <row r="475" spans="2:6" x14ac:dyDescent="0.2">
      <c r="B475" s="473"/>
      <c r="C475" s="473"/>
      <c r="D475" s="473"/>
      <c r="E475" s="473"/>
      <c r="F475" s="473"/>
    </row>
    <row r="476" spans="2:6" x14ac:dyDescent="0.2">
      <c r="B476" s="473"/>
      <c r="C476" s="473"/>
      <c r="D476" s="473"/>
      <c r="E476" s="473"/>
      <c r="F476" s="473"/>
    </row>
    <row r="477" spans="2:6" x14ac:dyDescent="0.2">
      <c r="B477" s="473"/>
      <c r="C477" s="473"/>
      <c r="D477" s="473"/>
      <c r="E477" s="473"/>
      <c r="F477" s="473"/>
    </row>
    <row r="478" spans="2:6" x14ac:dyDescent="0.2">
      <c r="B478" s="473"/>
      <c r="C478" s="473"/>
      <c r="D478" s="473"/>
      <c r="E478" s="473"/>
      <c r="F478" s="473"/>
    </row>
    <row r="479" spans="2:6" x14ac:dyDescent="0.2">
      <c r="B479" s="473"/>
      <c r="C479" s="473"/>
      <c r="D479" s="473"/>
      <c r="E479" s="473"/>
      <c r="F479" s="473"/>
    </row>
    <row r="480" spans="2:6" x14ac:dyDescent="0.2">
      <c r="B480" s="473"/>
      <c r="C480" s="473"/>
      <c r="D480" s="473"/>
      <c r="E480" s="473"/>
      <c r="F480" s="473"/>
    </row>
    <row r="481" spans="2:6" x14ac:dyDescent="0.2">
      <c r="B481" s="473"/>
      <c r="C481" s="473"/>
      <c r="D481" s="473"/>
      <c r="E481" s="473"/>
      <c r="F481" s="473"/>
    </row>
    <row r="482" spans="2:6" x14ac:dyDescent="0.2">
      <c r="B482" s="473"/>
      <c r="C482" s="473"/>
      <c r="D482" s="473"/>
      <c r="E482" s="473"/>
      <c r="F482" s="473"/>
    </row>
    <row r="483" spans="2:6" x14ac:dyDescent="0.2">
      <c r="B483" s="473"/>
      <c r="C483" s="473"/>
      <c r="D483" s="473"/>
      <c r="E483" s="473"/>
      <c r="F483" s="473"/>
    </row>
    <row r="484" spans="2:6" x14ac:dyDescent="0.2">
      <c r="B484" s="473"/>
      <c r="C484" s="473"/>
      <c r="D484" s="473"/>
      <c r="E484" s="473"/>
      <c r="F484" s="473"/>
    </row>
    <row r="485" spans="2:6" x14ac:dyDescent="0.2">
      <c r="B485" s="473"/>
      <c r="C485" s="473"/>
      <c r="D485" s="473"/>
      <c r="E485" s="473"/>
      <c r="F485" s="473"/>
    </row>
    <row r="486" spans="2:6" x14ac:dyDescent="0.2">
      <c r="B486" s="473"/>
      <c r="C486" s="473"/>
      <c r="D486" s="473"/>
      <c r="E486" s="473"/>
      <c r="F486" s="473"/>
    </row>
    <row r="487" spans="2:6" x14ac:dyDescent="0.2">
      <c r="B487" s="473"/>
      <c r="C487" s="473"/>
      <c r="D487" s="473"/>
      <c r="E487" s="473"/>
      <c r="F487" s="473"/>
    </row>
    <row r="488" spans="2:6" x14ac:dyDescent="0.2">
      <c r="B488" s="473"/>
      <c r="C488" s="473"/>
      <c r="D488" s="473"/>
      <c r="E488" s="473"/>
      <c r="F488" s="473"/>
    </row>
    <row r="489" spans="2:6" x14ac:dyDescent="0.2">
      <c r="B489" s="473"/>
      <c r="C489" s="473"/>
      <c r="D489" s="473"/>
      <c r="E489" s="473"/>
      <c r="F489" s="473"/>
    </row>
    <row r="490" spans="2:6" x14ac:dyDescent="0.2">
      <c r="B490" s="473"/>
      <c r="C490" s="473"/>
      <c r="D490" s="473"/>
      <c r="E490" s="473"/>
      <c r="F490" s="473"/>
    </row>
    <row r="491" spans="2:6" x14ac:dyDescent="0.2">
      <c r="B491" s="473"/>
      <c r="C491" s="473"/>
      <c r="D491" s="473"/>
      <c r="E491" s="473"/>
      <c r="F491" s="473"/>
    </row>
    <row r="492" spans="2:6" x14ac:dyDescent="0.2">
      <c r="B492" s="473"/>
      <c r="C492" s="473"/>
      <c r="D492" s="473"/>
      <c r="E492" s="473"/>
      <c r="F492" s="473"/>
    </row>
    <row r="493" spans="2:6" x14ac:dyDescent="0.2">
      <c r="B493" s="473"/>
      <c r="C493" s="473"/>
      <c r="D493" s="473"/>
      <c r="E493" s="473"/>
      <c r="F493" s="473"/>
    </row>
    <row r="494" spans="2:6" x14ac:dyDescent="0.2">
      <c r="B494" s="473"/>
      <c r="C494" s="473"/>
      <c r="D494" s="473"/>
      <c r="E494" s="473"/>
      <c r="F494" s="473"/>
    </row>
    <row r="495" spans="2:6" x14ac:dyDescent="0.2">
      <c r="B495" s="473"/>
      <c r="C495" s="473"/>
      <c r="D495" s="473"/>
      <c r="E495" s="473"/>
      <c r="F495" s="473"/>
    </row>
    <row r="496" spans="2:6" x14ac:dyDescent="0.2">
      <c r="B496" s="473"/>
      <c r="C496" s="473"/>
      <c r="D496" s="473"/>
      <c r="E496" s="473"/>
      <c r="F496" s="473"/>
    </row>
    <row r="497" spans="2:6" x14ac:dyDescent="0.2">
      <c r="B497" s="473"/>
      <c r="C497" s="473"/>
      <c r="D497" s="473"/>
      <c r="E497" s="473"/>
      <c r="F497" s="473"/>
    </row>
    <row r="498" spans="2:6" x14ac:dyDescent="0.2">
      <c r="B498" s="473"/>
      <c r="C498" s="473"/>
      <c r="D498" s="473"/>
      <c r="E498" s="473"/>
      <c r="F498" s="473"/>
    </row>
    <row r="499" spans="2:6" x14ac:dyDescent="0.2">
      <c r="B499" s="473"/>
      <c r="C499" s="473"/>
      <c r="D499" s="473"/>
      <c r="E499" s="473"/>
      <c r="F499" s="473"/>
    </row>
    <row r="500" spans="2:6" x14ac:dyDescent="0.2">
      <c r="B500" s="473"/>
      <c r="C500" s="473"/>
      <c r="D500" s="473"/>
      <c r="E500" s="473"/>
      <c r="F500" s="473"/>
    </row>
    <row r="501" spans="2:6" x14ac:dyDescent="0.2">
      <c r="B501" s="473"/>
      <c r="C501" s="473"/>
      <c r="D501" s="473"/>
      <c r="E501" s="473"/>
      <c r="F501" s="473"/>
    </row>
    <row r="502" spans="2:6" x14ac:dyDescent="0.2">
      <c r="B502" s="473"/>
      <c r="C502" s="473"/>
      <c r="D502" s="473"/>
      <c r="E502" s="473"/>
      <c r="F502" s="473"/>
    </row>
    <row r="503" spans="2:6" x14ac:dyDescent="0.2">
      <c r="B503" s="473"/>
      <c r="C503" s="473"/>
      <c r="D503" s="473"/>
      <c r="E503" s="473"/>
      <c r="F503" s="473"/>
    </row>
    <row r="504" spans="2:6" x14ac:dyDescent="0.2">
      <c r="B504" s="473"/>
      <c r="C504" s="473"/>
      <c r="D504" s="473"/>
      <c r="E504" s="473"/>
      <c r="F504" s="473"/>
    </row>
    <row r="505" spans="2:6" x14ac:dyDescent="0.2">
      <c r="B505" s="473"/>
      <c r="C505" s="473"/>
      <c r="D505" s="473"/>
      <c r="E505" s="473"/>
      <c r="F505" s="473"/>
    </row>
    <row r="506" spans="2:6" x14ac:dyDescent="0.2">
      <c r="B506" s="473"/>
      <c r="C506" s="473"/>
      <c r="D506" s="473"/>
      <c r="E506" s="473"/>
      <c r="F506" s="473"/>
    </row>
    <row r="507" spans="2:6" x14ac:dyDescent="0.2">
      <c r="B507" s="473"/>
      <c r="C507" s="473"/>
      <c r="D507" s="473"/>
      <c r="E507" s="473"/>
      <c r="F507" s="473"/>
    </row>
    <row r="508" spans="2:6" x14ac:dyDescent="0.2">
      <c r="B508" s="473"/>
      <c r="C508" s="473"/>
      <c r="D508" s="473"/>
      <c r="E508" s="473"/>
      <c r="F508" s="473"/>
    </row>
    <row r="509" spans="2:6" x14ac:dyDescent="0.2">
      <c r="B509" s="473"/>
      <c r="C509" s="473"/>
      <c r="D509" s="473"/>
      <c r="E509" s="473"/>
      <c r="F509" s="473"/>
    </row>
    <row r="510" spans="2:6" x14ac:dyDescent="0.2">
      <c r="B510" s="473"/>
      <c r="C510" s="473"/>
      <c r="D510" s="473"/>
      <c r="E510" s="473"/>
      <c r="F510" s="473"/>
    </row>
    <row r="511" spans="2:6" x14ac:dyDescent="0.2">
      <c r="B511" s="473"/>
      <c r="C511" s="473"/>
      <c r="D511" s="473"/>
      <c r="E511" s="473"/>
      <c r="F511" s="473"/>
    </row>
    <row r="512" spans="2:6" x14ac:dyDescent="0.2">
      <c r="B512" s="473"/>
      <c r="C512" s="473"/>
      <c r="D512" s="473"/>
      <c r="E512" s="473"/>
      <c r="F512" s="473"/>
    </row>
    <row r="513" spans="2:6" x14ac:dyDescent="0.2">
      <c r="B513" s="473"/>
      <c r="C513" s="473"/>
      <c r="D513" s="473"/>
      <c r="E513" s="473"/>
      <c r="F513" s="473"/>
    </row>
    <row r="514" spans="2:6" x14ac:dyDescent="0.2">
      <c r="B514" s="473"/>
      <c r="C514" s="473"/>
      <c r="D514" s="473"/>
      <c r="E514" s="473"/>
      <c r="F514" s="473"/>
    </row>
    <row r="515" spans="2:6" x14ac:dyDescent="0.2">
      <c r="B515" s="473"/>
      <c r="C515" s="473"/>
      <c r="D515" s="473"/>
      <c r="E515" s="473"/>
      <c r="F515" s="473"/>
    </row>
    <row r="516" spans="2:6" x14ac:dyDescent="0.2">
      <c r="B516" s="473"/>
      <c r="C516" s="473"/>
      <c r="D516" s="473"/>
      <c r="E516" s="473"/>
      <c r="F516" s="473"/>
    </row>
    <row r="517" spans="2:6" x14ac:dyDescent="0.2">
      <c r="B517" s="473"/>
      <c r="C517" s="473"/>
      <c r="D517" s="473"/>
      <c r="E517" s="473"/>
      <c r="F517" s="473"/>
    </row>
    <row r="518" spans="2:6" x14ac:dyDescent="0.2">
      <c r="B518" s="473"/>
      <c r="C518" s="473"/>
      <c r="D518" s="473"/>
      <c r="E518" s="473"/>
      <c r="F518" s="473"/>
    </row>
    <row r="519" spans="2:6" x14ac:dyDescent="0.2">
      <c r="B519" s="473"/>
      <c r="C519" s="473"/>
      <c r="D519" s="473"/>
      <c r="E519" s="473"/>
      <c r="F519" s="473"/>
    </row>
    <row r="520" spans="2:6" x14ac:dyDescent="0.2">
      <c r="B520" s="473"/>
      <c r="C520" s="473"/>
      <c r="D520" s="473"/>
      <c r="E520" s="473"/>
      <c r="F520" s="473"/>
    </row>
    <row r="521" spans="2:6" x14ac:dyDescent="0.2">
      <c r="B521" s="473"/>
      <c r="C521" s="473"/>
      <c r="D521" s="473"/>
      <c r="E521" s="473"/>
      <c r="F521" s="473"/>
    </row>
    <row r="522" spans="2:6" x14ac:dyDescent="0.2">
      <c r="B522" s="473"/>
      <c r="C522" s="473"/>
      <c r="D522" s="473"/>
      <c r="E522" s="473"/>
      <c r="F522" s="473"/>
    </row>
    <row r="523" spans="2:6" x14ac:dyDescent="0.2">
      <c r="B523" s="473"/>
      <c r="C523" s="473"/>
      <c r="D523" s="473"/>
      <c r="E523" s="473"/>
      <c r="F523" s="473"/>
    </row>
    <row r="524" spans="2:6" x14ac:dyDescent="0.2">
      <c r="B524" s="473"/>
      <c r="C524" s="473"/>
      <c r="D524" s="473"/>
      <c r="E524" s="473"/>
      <c r="F524" s="473"/>
    </row>
    <row r="525" spans="2:6" x14ac:dyDescent="0.2">
      <c r="B525" s="473"/>
      <c r="C525" s="473"/>
      <c r="D525" s="473"/>
      <c r="E525" s="473"/>
      <c r="F525" s="473"/>
    </row>
    <row r="526" spans="2:6" x14ac:dyDescent="0.2">
      <c r="B526" s="473"/>
      <c r="C526" s="473"/>
      <c r="D526" s="473"/>
      <c r="E526" s="473"/>
      <c r="F526" s="473"/>
    </row>
    <row r="527" spans="2:6" x14ac:dyDescent="0.2">
      <c r="B527" s="473"/>
      <c r="C527" s="473"/>
      <c r="D527" s="473"/>
      <c r="E527" s="473"/>
      <c r="F527" s="473"/>
    </row>
    <row r="528" spans="2:6" x14ac:dyDescent="0.2">
      <c r="B528" s="473"/>
      <c r="C528" s="473"/>
      <c r="D528" s="473"/>
      <c r="E528" s="473"/>
      <c r="F528" s="473"/>
    </row>
    <row r="529" spans="2:6" x14ac:dyDescent="0.2">
      <c r="B529" s="473"/>
      <c r="C529" s="473"/>
      <c r="D529" s="473"/>
      <c r="E529" s="473"/>
      <c r="F529" s="473"/>
    </row>
    <row r="530" spans="2:6" x14ac:dyDescent="0.2">
      <c r="B530" s="473"/>
      <c r="C530" s="473"/>
      <c r="D530" s="473"/>
      <c r="E530" s="473"/>
      <c r="F530" s="473"/>
    </row>
    <row r="531" spans="2:6" x14ac:dyDescent="0.2">
      <c r="B531" s="473"/>
      <c r="C531" s="473"/>
      <c r="D531" s="473"/>
      <c r="E531" s="473"/>
      <c r="F531" s="473"/>
    </row>
    <row r="532" spans="2:6" x14ac:dyDescent="0.2">
      <c r="B532" s="473"/>
      <c r="C532" s="473"/>
      <c r="D532" s="473"/>
      <c r="E532" s="473"/>
      <c r="F532" s="473"/>
    </row>
    <row r="533" spans="2:6" x14ac:dyDescent="0.2">
      <c r="B533" s="473"/>
      <c r="C533" s="473"/>
      <c r="D533" s="473"/>
      <c r="E533" s="473"/>
      <c r="F533" s="473"/>
    </row>
    <row r="534" spans="2:6" x14ac:dyDescent="0.2">
      <c r="B534" s="473"/>
      <c r="C534" s="473"/>
      <c r="D534" s="473"/>
      <c r="E534" s="473"/>
      <c r="F534" s="473"/>
    </row>
    <row r="535" spans="2:6" x14ac:dyDescent="0.2">
      <c r="B535" s="473"/>
      <c r="C535" s="473"/>
      <c r="D535" s="473"/>
      <c r="E535" s="473"/>
      <c r="F535" s="473"/>
    </row>
    <row r="536" spans="2:6" x14ac:dyDescent="0.2">
      <c r="B536" s="473"/>
      <c r="C536" s="473"/>
      <c r="D536" s="473"/>
      <c r="E536" s="473"/>
      <c r="F536" s="473"/>
    </row>
    <row r="537" spans="2:6" x14ac:dyDescent="0.2">
      <c r="B537" s="473"/>
      <c r="C537" s="473"/>
      <c r="D537" s="473"/>
      <c r="E537" s="473"/>
      <c r="F537" s="473"/>
    </row>
    <row r="538" spans="2:6" x14ac:dyDescent="0.2">
      <c r="B538" s="473"/>
      <c r="C538" s="473"/>
      <c r="D538" s="473"/>
      <c r="E538" s="473"/>
      <c r="F538" s="473"/>
    </row>
    <row r="539" spans="2:6" x14ac:dyDescent="0.2">
      <c r="B539" s="473"/>
      <c r="C539" s="473"/>
      <c r="D539" s="473"/>
      <c r="E539" s="473"/>
      <c r="F539" s="473"/>
    </row>
    <row r="540" spans="2:6" x14ac:dyDescent="0.2">
      <c r="B540" s="473"/>
      <c r="C540" s="473"/>
      <c r="D540" s="473"/>
      <c r="E540" s="473"/>
      <c r="F540" s="473"/>
    </row>
    <row r="541" spans="2:6" x14ac:dyDescent="0.2">
      <c r="B541" s="473"/>
      <c r="C541" s="473"/>
      <c r="D541" s="473"/>
      <c r="E541" s="473"/>
      <c r="F541" s="473"/>
    </row>
    <row r="542" spans="2:6" x14ac:dyDescent="0.2">
      <c r="B542" s="473"/>
      <c r="C542" s="473"/>
      <c r="D542" s="473"/>
      <c r="E542" s="473"/>
      <c r="F542" s="473"/>
    </row>
    <row r="543" spans="2:6" x14ac:dyDescent="0.2">
      <c r="B543" s="473"/>
      <c r="C543" s="473"/>
      <c r="D543" s="473"/>
      <c r="E543" s="473"/>
      <c r="F543" s="473"/>
    </row>
    <row r="544" spans="2:6" x14ac:dyDescent="0.2">
      <c r="B544" s="473"/>
      <c r="C544" s="473"/>
      <c r="D544" s="473"/>
      <c r="E544" s="473"/>
      <c r="F544" s="473"/>
    </row>
    <row r="545" spans="2:6" x14ac:dyDescent="0.2">
      <c r="B545" s="473"/>
      <c r="C545" s="473"/>
      <c r="D545" s="473"/>
      <c r="E545" s="473"/>
      <c r="F545" s="473"/>
    </row>
    <row r="546" spans="2:6" x14ac:dyDescent="0.2">
      <c r="B546" s="473"/>
      <c r="C546" s="473"/>
      <c r="D546" s="473"/>
      <c r="E546" s="473"/>
      <c r="F546" s="473"/>
    </row>
    <row r="547" spans="2:6" x14ac:dyDescent="0.2">
      <c r="B547" s="473"/>
      <c r="C547" s="473"/>
      <c r="D547" s="473"/>
      <c r="E547" s="473"/>
      <c r="F547" s="473"/>
    </row>
    <row r="548" spans="2:6" x14ac:dyDescent="0.2">
      <c r="B548" s="473"/>
      <c r="C548" s="473"/>
      <c r="D548" s="473"/>
      <c r="E548" s="473"/>
      <c r="F548" s="473"/>
    </row>
    <row r="549" spans="2:6" x14ac:dyDescent="0.2">
      <c r="B549" s="473"/>
      <c r="C549" s="473"/>
      <c r="D549" s="473"/>
      <c r="E549" s="473"/>
      <c r="F549" s="473"/>
    </row>
    <row r="550" spans="2:6" x14ac:dyDescent="0.2">
      <c r="B550" s="473"/>
      <c r="C550" s="473"/>
      <c r="D550" s="473"/>
      <c r="E550" s="473"/>
      <c r="F550" s="473"/>
    </row>
    <row r="551" spans="2:6" x14ac:dyDescent="0.2">
      <c r="B551" s="473"/>
      <c r="C551" s="473"/>
      <c r="D551" s="473"/>
      <c r="E551" s="473"/>
      <c r="F551" s="473"/>
    </row>
    <row r="552" spans="2:6" x14ac:dyDescent="0.2">
      <c r="B552" s="473"/>
      <c r="C552" s="473"/>
      <c r="D552" s="473"/>
      <c r="E552" s="473"/>
      <c r="F552" s="473"/>
    </row>
    <row r="553" spans="2:6" x14ac:dyDescent="0.2">
      <c r="B553" s="473"/>
      <c r="C553" s="473"/>
      <c r="D553" s="473"/>
      <c r="E553" s="473"/>
      <c r="F553" s="473"/>
    </row>
    <row r="554" spans="2:6" x14ac:dyDescent="0.2">
      <c r="B554" s="473"/>
      <c r="C554" s="473"/>
      <c r="D554" s="473"/>
      <c r="E554" s="473"/>
      <c r="F554" s="473"/>
    </row>
    <row r="555" spans="2:6" x14ac:dyDescent="0.2">
      <c r="B555" s="473"/>
      <c r="C555" s="473"/>
      <c r="D555" s="473"/>
      <c r="E555" s="473"/>
      <c r="F555" s="473"/>
    </row>
    <row r="556" spans="2:6" x14ac:dyDescent="0.2">
      <c r="B556" s="473"/>
      <c r="C556" s="473"/>
      <c r="D556" s="473"/>
      <c r="E556" s="473"/>
      <c r="F556" s="473"/>
    </row>
    <row r="557" spans="2:6" x14ac:dyDescent="0.2">
      <c r="B557" s="473"/>
      <c r="C557" s="473"/>
      <c r="D557" s="473"/>
      <c r="E557" s="473"/>
      <c r="F557" s="473"/>
    </row>
    <row r="558" spans="2:6" x14ac:dyDescent="0.2">
      <c r="B558" s="473"/>
      <c r="C558" s="473"/>
      <c r="D558" s="473"/>
      <c r="E558" s="473"/>
      <c r="F558" s="473"/>
    </row>
    <row r="559" spans="2:6" x14ac:dyDescent="0.2">
      <c r="B559" s="473"/>
      <c r="C559" s="473"/>
      <c r="D559" s="473"/>
      <c r="E559" s="473"/>
      <c r="F559" s="473"/>
    </row>
    <row r="560" spans="2:6" x14ac:dyDescent="0.2">
      <c r="B560" s="473"/>
      <c r="C560" s="473"/>
      <c r="D560" s="473"/>
      <c r="E560" s="473"/>
      <c r="F560" s="473"/>
    </row>
    <row r="561" spans="2:6" x14ac:dyDescent="0.2">
      <c r="B561" s="473"/>
      <c r="C561" s="473"/>
      <c r="D561" s="473"/>
      <c r="E561" s="473"/>
      <c r="F561" s="473"/>
    </row>
    <row r="562" spans="2:6" x14ac:dyDescent="0.2">
      <c r="B562" s="473"/>
      <c r="C562" s="473"/>
      <c r="D562" s="473"/>
      <c r="E562" s="473"/>
      <c r="F562" s="473"/>
    </row>
    <row r="563" spans="2:6" x14ac:dyDescent="0.2">
      <c r="B563" s="473"/>
      <c r="C563" s="473"/>
      <c r="D563" s="473"/>
      <c r="E563" s="473"/>
      <c r="F563" s="473"/>
    </row>
    <row r="564" spans="2:6" x14ac:dyDescent="0.2">
      <c r="B564" s="473"/>
      <c r="C564" s="473"/>
      <c r="D564" s="473"/>
      <c r="E564" s="473"/>
      <c r="F564" s="473"/>
    </row>
    <row r="565" spans="2:6" x14ac:dyDescent="0.2">
      <c r="B565" s="473"/>
      <c r="C565" s="473"/>
      <c r="D565" s="473"/>
      <c r="E565" s="473"/>
      <c r="F565" s="473"/>
    </row>
    <row r="566" spans="2:6" x14ac:dyDescent="0.2">
      <c r="B566" s="473"/>
      <c r="C566" s="473"/>
      <c r="D566" s="473"/>
      <c r="E566" s="473"/>
      <c r="F566" s="473"/>
    </row>
    <row r="567" spans="2:6" x14ac:dyDescent="0.2">
      <c r="B567" s="473"/>
      <c r="C567" s="473"/>
      <c r="D567" s="473"/>
      <c r="E567" s="473"/>
      <c r="F567" s="473"/>
    </row>
    <row r="568" spans="2:6" x14ac:dyDescent="0.2">
      <c r="B568" s="473"/>
      <c r="C568" s="473"/>
      <c r="D568" s="473"/>
      <c r="E568" s="473"/>
      <c r="F568" s="473"/>
    </row>
    <row r="569" spans="2:6" x14ac:dyDescent="0.2">
      <c r="B569" s="473"/>
      <c r="C569" s="473"/>
      <c r="D569" s="473"/>
      <c r="E569" s="473"/>
      <c r="F569" s="473"/>
    </row>
    <row r="570" spans="2:6" x14ac:dyDescent="0.2">
      <c r="B570" s="473"/>
      <c r="C570" s="473"/>
      <c r="D570" s="473"/>
      <c r="E570" s="473"/>
      <c r="F570" s="473"/>
    </row>
    <row r="571" spans="2:6" x14ac:dyDescent="0.2">
      <c r="B571" s="473"/>
      <c r="C571" s="473"/>
      <c r="D571" s="473"/>
      <c r="E571" s="473"/>
      <c r="F571" s="473"/>
    </row>
    <row r="572" spans="2:6" x14ac:dyDescent="0.2">
      <c r="B572" s="473"/>
      <c r="C572" s="473"/>
      <c r="D572" s="473"/>
      <c r="E572" s="473"/>
      <c r="F572" s="473"/>
    </row>
    <row r="573" spans="2:6" x14ac:dyDescent="0.2">
      <c r="B573" s="473"/>
      <c r="C573" s="473"/>
      <c r="D573" s="473"/>
      <c r="E573" s="473"/>
      <c r="F573" s="473"/>
    </row>
    <row r="574" spans="2:6" x14ac:dyDescent="0.2">
      <c r="B574" s="473"/>
      <c r="C574" s="473"/>
      <c r="D574" s="473"/>
      <c r="E574" s="473"/>
      <c r="F574" s="473"/>
    </row>
    <row r="575" spans="2:6" x14ac:dyDescent="0.2">
      <c r="B575" s="473"/>
      <c r="C575" s="473"/>
      <c r="D575" s="473"/>
      <c r="E575" s="473"/>
      <c r="F575" s="473"/>
    </row>
    <row r="576" spans="2:6" x14ac:dyDescent="0.2">
      <c r="B576" s="473"/>
      <c r="C576" s="473"/>
      <c r="D576" s="473"/>
      <c r="E576" s="473"/>
      <c r="F576" s="473"/>
    </row>
    <row r="577" spans="2:6" x14ac:dyDescent="0.2">
      <c r="B577" s="473"/>
      <c r="C577" s="473"/>
      <c r="D577" s="473"/>
      <c r="E577" s="473"/>
      <c r="F577" s="473"/>
    </row>
    <row r="578" spans="2:6" x14ac:dyDescent="0.2">
      <c r="B578" s="473"/>
      <c r="C578" s="473"/>
      <c r="D578" s="473"/>
      <c r="E578" s="473"/>
      <c r="F578" s="473"/>
    </row>
    <row r="579" spans="2:6" x14ac:dyDescent="0.2">
      <c r="B579" s="473"/>
      <c r="C579" s="473"/>
      <c r="D579" s="473"/>
      <c r="E579" s="473"/>
      <c r="F579" s="473"/>
    </row>
    <row r="580" spans="2:6" x14ac:dyDescent="0.2">
      <c r="B580" s="473"/>
      <c r="C580" s="473"/>
      <c r="D580" s="473"/>
      <c r="E580" s="473"/>
      <c r="F580" s="473"/>
    </row>
    <row r="581" spans="2:6" x14ac:dyDescent="0.2">
      <c r="B581" s="473"/>
      <c r="C581" s="473"/>
      <c r="D581" s="473"/>
      <c r="E581" s="473"/>
      <c r="F581" s="473"/>
    </row>
  </sheetData>
  <printOptions horizontalCentered="1"/>
  <pageMargins left="0" right="0" top="0.78740157480314965" bottom="0" header="0" footer="0"/>
  <pageSetup paperSize="9" scale="49" orientation="portrait" horizontalDpi="4294967295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61"/>
  <sheetViews>
    <sheetView topLeftCell="A781" workbookViewId="0">
      <selection sqref="A1:J1139"/>
    </sheetView>
  </sheetViews>
  <sheetFormatPr defaultRowHeight="12.75" x14ac:dyDescent="0.2"/>
  <cols>
    <col min="1" max="1" width="10.85546875" style="499" customWidth="1"/>
    <col min="2" max="2" width="11.28515625" style="499" bestFit="1" customWidth="1"/>
    <col min="3" max="3" width="6.7109375" style="499" customWidth="1"/>
    <col min="4" max="4" width="19.28515625" style="499" customWidth="1"/>
    <col min="5" max="5" width="11.28515625" style="499" customWidth="1"/>
    <col min="6" max="6" width="27.28515625" style="499" customWidth="1"/>
    <col min="7" max="7" width="10.85546875" style="499" customWidth="1"/>
    <col min="8" max="8" width="18.28515625" style="499" customWidth="1"/>
    <col min="9" max="9" width="10.42578125" style="499" customWidth="1"/>
    <col min="10" max="10" width="19.5703125" style="499" customWidth="1"/>
    <col min="11" max="11" width="18.7109375" style="499" bestFit="1" customWidth="1"/>
    <col min="12" max="12" width="9.140625" style="499"/>
    <col min="13" max="13" width="14" style="499" customWidth="1"/>
    <col min="14" max="16384" width="9.140625" style="499"/>
  </cols>
  <sheetData>
    <row r="1" spans="1:10" x14ac:dyDescent="0.2">
      <c r="J1" s="500"/>
    </row>
    <row r="2" spans="1:10" ht="18" customHeight="1" x14ac:dyDescent="0.25">
      <c r="A2" s="501" t="s">
        <v>500</v>
      </c>
      <c r="B2" s="502"/>
      <c r="C2" s="502"/>
      <c r="D2" s="502"/>
      <c r="E2" s="502"/>
      <c r="F2" s="502"/>
      <c r="G2" s="502"/>
      <c r="H2" s="502"/>
      <c r="I2" s="502"/>
      <c r="J2" s="502"/>
    </row>
    <row r="3" spans="1:10" ht="18" customHeight="1" x14ac:dyDescent="0.25">
      <c r="A3" s="501" t="s">
        <v>501</v>
      </c>
      <c r="B3" s="502"/>
      <c r="C3" s="502"/>
      <c r="D3" s="502"/>
      <c r="E3" s="502"/>
      <c r="F3" s="502"/>
      <c r="G3" s="502"/>
      <c r="H3" s="502"/>
      <c r="I3" s="502"/>
      <c r="J3" s="502"/>
    </row>
    <row r="5" spans="1:10" ht="13.5" customHeight="1" thickBot="1" x14ac:dyDescent="0.25"/>
    <row r="6" spans="1:10" ht="17.25" customHeight="1" x14ac:dyDescent="0.25">
      <c r="A6" s="503" t="s">
        <v>502</v>
      </c>
      <c r="B6" s="503" t="s">
        <v>503</v>
      </c>
      <c r="C6" s="503" t="s">
        <v>504</v>
      </c>
      <c r="D6" s="503" t="s">
        <v>505</v>
      </c>
      <c r="E6" s="503" t="s">
        <v>506</v>
      </c>
      <c r="F6" s="503" t="s">
        <v>507</v>
      </c>
      <c r="G6" s="503" t="s">
        <v>508</v>
      </c>
      <c r="H6" s="503" t="s">
        <v>509</v>
      </c>
      <c r="I6" s="503" t="s">
        <v>510</v>
      </c>
      <c r="J6" s="503" t="s">
        <v>511</v>
      </c>
    </row>
    <row r="7" spans="1:10" ht="15.75" customHeight="1" thickBot="1" x14ac:dyDescent="0.3">
      <c r="A7" s="504" t="s">
        <v>512</v>
      </c>
      <c r="B7" s="504"/>
      <c r="C7" s="504"/>
      <c r="D7" s="504" t="s">
        <v>512</v>
      </c>
      <c r="E7" s="504" t="s">
        <v>513</v>
      </c>
      <c r="F7" s="504"/>
      <c r="G7" s="504" t="s">
        <v>514</v>
      </c>
      <c r="H7" s="504"/>
      <c r="I7" s="504" t="s">
        <v>300</v>
      </c>
      <c r="J7" s="504"/>
    </row>
    <row r="8" spans="1:10" ht="14.25" customHeight="1" x14ac:dyDescent="0.2">
      <c r="A8" s="505"/>
      <c r="B8" s="505"/>
      <c r="C8" s="505"/>
      <c r="D8" s="505"/>
      <c r="E8" s="505"/>
      <c r="F8" s="505"/>
      <c r="G8" s="505"/>
      <c r="H8" s="505"/>
      <c r="I8" s="505"/>
      <c r="J8" s="505"/>
    </row>
    <row r="9" spans="1:10" ht="14.25" customHeight="1" x14ac:dyDescent="0.2">
      <c r="A9" s="506">
        <v>31</v>
      </c>
      <c r="B9" s="507">
        <v>41687</v>
      </c>
      <c r="C9" s="506">
        <v>132</v>
      </c>
      <c r="D9" s="508" t="s">
        <v>515</v>
      </c>
      <c r="E9" s="508" t="s">
        <v>516</v>
      </c>
      <c r="F9" s="508" t="s">
        <v>517</v>
      </c>
      <c r="G9" s="506">
        <v>35</v>
      </c>
      <c r="H9" s="508" t="s">
        <v>518</v>
      </c>
      <c r="I9" s="506" t="s">
        <v>519</v>
      </c>
      <c r="J9" s="509">
        <v>-35000</v>
      </c>
    </row>
    <row r="10" spans="1:10" ht="14.25" customHeight="1" x14ac:dyDescent="0.2">
      <c r="A10" s="508"/>
      <c r="B10" s="507"/>
      <c r="C10" s="506"/>
      <c r="D10" s="508"/>
      <c r="E10" s="508" t="s">
        <v>520</v>
      </c>
      <c r="F10" s="508" t="s">
        <v>521</v>
      </c>
      <c r="G10" s="506"/>
      <c r="H10" s="508" t="s">
        <v>522</v>
      </c>
      <c r="I10" s="506" t="s">
        <v>519</v>
      </c>
      <c r="J10" s="509">
        <v>30000</v>
      </c>
    </row>
    <row r="11" spans="1:10" ht="14.25" customHeight="1" x14ac:dyDescent="0.2">
      <c r="A11" s="508"/>
      <c r="B11" s="507"/>
      <c r="C11" s="506"/>
      <c r="D11" s="508"/>
      <c r="E11" s="508" t="s">
        <v>520</v>
      </c>
      <c r="F11" s="508"/>
      <c r="G11" s="506"/>
      <c r="H11" s="508" t="s">
        <v>523</v>
      </c>
      <c r="I11" s="506" t="s">
        <v>519</v>
      </c>
      <c r="J11" s="509">
        <v>5000</v>
      </c>
    </row>
    <row r="12" spans="1:10" s="514" customFormat="1" ht="14.25" customHeight="1" x14ac:dyDescent="0.2">
      <c r="A12" s="510" t="s">
        <v>58</v>
      </c>
      <c r="B12" s="511"/>
      <c r="C12" s="512">
        <v>132</v>
      </c>
      <c r="D12" s="511"/>
      <c r="E12" s="511"/>
      <c r="F12" s="511"/>
      <c r="G12" s="512">
        <v>35</v>
      </c>
      <c r="H12" s="511"/>
      <c r="I12" s="512"/>
      <c r="J12" s="513">
        <f>SUM(J10:J11)+J9</f>
        <v>0</v>
      </c>
    </row>
    <row r="13" spans="1:10" ht="14.25" x14ac:dyDescent="0.2">
      <c r="A13" s="508"/>
      <c r="B13" s="508"/>
      <c r="C13" s="508"/>
      <c r="D13" s="508"/>
      <c r="E13" s="508"/>
      <c r="F13" s="508"/>
      <c r="G13" s="508"/>
      <c r="H13" s="508"/>
      <c r="I13" s="508"/>
      <c r="J13" s="509"/>
    </row>
    <row r="14" spans="1:10" ht="14.25" x14ac:dyDescent="0.2">
      <c r="A14" s="506">
        <v>56</v>
      </c>
      <c r="B14" s="507">
        <v>41698</v>
      </c>
      <c r="C14" s="506">
        <v>132</v>
      </c>
      <c r="D14" s="508" t="s">
        <v>524</v>
      </c>
      <c r="E14" s="508" t="s">
        <v>516</v>
      </c>
      <c r="F14" s="508" t="s">
        <v>517</v>
      </c>
      <c r="G14" s="506">
        <v>35</v>
      </c>
      <c r="H14" s="508" t="s">
        <v>518</v>
      </c>
      <c r="I14" s="506" t="s">
        <v>519</v>
      </c>
      <c r="J14" s="509">
        <v>-10000</v>
      </c>
    </row>
    <row r="15" spans="1:10" ht="14.25" x14ac:dyDescent="0.2">
      <c r="A15" s="508"/>
      <c r="B15" s="507"/>
      <c r="C15" s="506"/>
      <c r="D15" s="508"/>
      <c r="E15" s="508" t="s">
        <v>520</v>
      </c>
      <c r="F15" s="508" t="s">
        <v>521</v>
      </c>
      <c r="G15" s="506"/>
      <c r="H15" s="508" t="s">
        <v>525</v>
      </c>
      <c r="I15" s="506" t="s">
        <v>519</v>
      </c>
      <c r="J15" s="509">
        <v>3000</v>
      </c>
    </row>
    <row r="16" spans="1:10" ht="14.25" x14ac:dyDescent="0.2">
      <c r="A16" s="508"/>
      <c r="B16" s="507"/>
      <c r="C16" s="506"/>
      <c r="D16" s="508"/>
      <c r="E16" s="508"/>
      <c r="F16" s="508"/>
      <c r="G16" s="506"/>
      <c r="H16" s="508" t="s">
        <v>526</v>
      </c>
      <c r="I16" s="506" t="s">
        <v>519</v>
      </c>
      <c r="J16" s="509">
        <v>5000</v>
      </c>
    </row>
    <row r="17" spans="1:10" ht="14.25" x14ac:dyDescent="0.2">
      <c r="A17" s="508"/>
      <c r="B17" s="507"/>
      <c r="C17" s="506"/>
      <c r="D17" s="508"/>
      <c r="E17" s="508"/>
      <c r="F17" s="508"/>
      <c r="G17" s="506"/>
      <c r="H17" s="508" t="s">
        <v>527</v>
      </c>
      <c r="I17" s="506" t="s">
        <v>519</v>
      </c>
      <c r="J17" s="509">
        <v>2000</v>
      </c>
    </row>
    <row r="18" spans="1:10" ht="15" thickBot="1" x14ac:dyDescent="0.25">
      <c r="A18" s="515" t="s">
        <v>60</v>
      </c>
      <c r="B18" s="516"/>
      <c r="C18" s="517">
        <v>132</v>
      </c>
      <c r="D18" s="516"/>
      <c r="E18" s="516"/>
      <c r="F18" s="516"/>
      <c r="G18" s="517">
        <v>35</v>
      </c>
      <c r="H18" s="516"/>
      <c r="I18" s="517"/>
      <c r="J18" s="518">
        <f>SUM(J15:J17)+J14</f>
        <v>0</v>
      </c>
    </row>
    <row r="19" spans="1:10" ht="15" thickTop="1" x14ac:dyDescent="0.2">
      <c r="A19" s="508"/>
      <c r="B19" s="508"/>
      <c r="C19" s="508"/>
      <c r="D19" s="508"/>
      <c r="E19" s="508"/>
      <c r="F19" s="508"/>
      <c r="G19" s="508"/>
      <c r="H19" s="508"/>
      <c r="I19" s="508"/>
      <c r="J19" s="509"/>
    </row>
    <row r="20" spans="1:10" ht="14.25" x14ac:dyDescent="0.2">
      <c r="A20" s="506">
        <v>59</v>
      </c>
      <c r="B20" s="507">
        <v>41701</v>
      </c>
      <c r="C20" s="506">
        <v>132</v>
      </c>
      <c r="D20" s="508" t="s">
        <v>528</v>
      </c>
      <c r="E20" s="508" t="s">
        <v>516</v>
      </c>
      <c r="F20" s="508" t="s">
        <v>517</v>
      </c>
      <c r="G20" s="506">
        <v>31</v>
      </c>
      <c r="H20" s="508" t="s">
        <v>529</v>
      </c>
      <c r="I20" s="506" t="s">
        <v>519</v>
      </c>
      <c r="J20" s="509">
        <v>-109402</v>
      </c>
    </row>
    <row r="21" spans="1:10" ht="14.25" x14ac:dyDescent="0.2">
      <c r="A21" s="508"/>
      <c r="B21" s="507"/>
      <c r="C21" s="506"/>
      <c r="D21" s="508"/>
      <c r="E21" s="508" t="s">
        <v>520</v>
      </c>
      <c r="F21" s="508" t="s">
        <v>521</v>
      </c>
      <c r="G21" s="506"/>
      <c r="H21" s="508" t="s">
        <v>530</v>
      </c>
      <c r="I21" s="506" t="s">
        <v>519</v>
      </c>
      <c r="J21" s="509">
        <v>81904</v>
      </c>
    </row>
    <row r="22" spans="1:10" ht="14.25" x14ac:dyDescent="0.2">
      <c r="A22" s="508"/>
      <c r="B22" s="507"/>
      <c r="C22" s="506"/>
      <c r="D22" s="508"/>
      <c r="E22" s="508"/>
      <c r="F22" s="508"/>
      <c r="G22" s="506"/>
      <c r="H22" s="508" t="s">
        <v>531</v>
      </c>
      <c r="I22" s="506" t="s">
        <v>519</v>
      </c>
      <c r="J22" s="509">
        <v>17498</v>
      </c>
    </row>
    <row r="23" spans="1:10" ht="14.25" x14ac:dyDescent="0.2">
      <c r="A23" s="508"/>
      <c r="B23" s="507"/>
      <c r="C23" s="506"/>
      <c r="D23" s="508"/>
      <c r="E23" s="508"/>
      <c r="F23" s="508"/>
      <c r="G23" s="506"/>
      <c r="H23" s="508" t="s">
        <v>532</v>
      </c>
      <c r="I23" s="506" t="s">
        <v>519</v>
      </c>
      <c r="J23" s="509">
        <v>10000</v>
      </c>
    </row>
    <row r="24" spans="1:10" ht="14.25" x14ac:dyDescent="0.2">
      <c r="A24" s="510" t="s">
        <v>62</v>
      </c>
      <c r="B24" s="511"/>
      <c r="C24" s="512">
        <v>132</v>
      </c>
      <c r="D24" s="511"/>
      <c r="E24" s="511"/>
      <c r="F24" s="511"/>
      <c r="G24" s="512">
        <v>31</v>
      </c>
      <c r="H24" s="511"/>
      <c r="I24" s="512"/>
      <c r="J24" s="513">
        <f>SUM(J21:J23)+J20</f>
        <v>0</v>
      </c>
    </row>
    <row r="25" spans="1:10" ht="14.25" x14ac:dyDescent="0.2">
      <c r="A25" s="508"/>
      <c r="B25" s="508"/>
      <c r="C25" s="508"/>
      <c r="D25" s="508"/>
      <c r="E25" s="508"/>
      <c r="F25" s="508"/>
      <c r="G25" s="508"/>
      <c r="H25" s="508"/>
      <c r="I25" s="508"/>
      <c r="J25" s="509"/>
    </row>
    <row r="26" spans="1:10" ht="14.25" x14ac:dyDescent="0.2">
      <c r="A26" s="506">
        <v>104</v>
      </c>
      <c r="B26" s="507">
        <v>41719</v>
      </c>
      <c r="C26" s="506">
        <v>132</v>
      </c>
      <c r="D26" s="508" t="s">
        <v>533</v>
      </c>
      <c r="E26" s="508" t="s">
        <v>516</v>
      </c>
      <c r="F26" s="508" t="s">
        <v>517</v>
      </c>
      <c r="G26" s="506">
        <v>31</v>
      </c>
      <c r="H26" s="508" t="s">
        <v>529</v>
      </c>
      <c r="I26" s="506" t="s">
        <v>519</v>
      </c>
      <c r="J26" s="509">
        <v>-14008</v>
      </c>
    </row>
    <row r="27" spans="1:10" ht="14.25" x14ac:dyDescent="0.2">
      <c r="A27" s="508"/>
      <c r="B27" s="507"/>
      <c r="C27" s="506"/>
      <c r="D27" s="508"/>
      <c r="E27" s="508" t="s">
        <v>520</v>
      </c>
      <c r="F27" s="508" t="s">
        <v>521</v>
      </c>
      <c r="G27" s="506"/>
      <c r="H27" s="508" t="s">
        <v>530</v>
      </c>
      <c r="I27" s="506" t="s">
        <v>519</v>
      </c>
      <c r="J27" s="509">
        <v>1545</v>
      </c>
    </row>
    <row r="28" spans="1:10" ht="14.25" x14ac:dyDescent="0.2">
      <c r="A28" s="508"/>
      <c r="B28" s="507"/>
      <c r="C28" s="506"/>
      <c r="D28" s="508"/>
      <c r="E28" s="508"/>
      <c r="F28" s="508"/>
      <c r="G28" s="506"/>
      <c r="H28" s="508" t="s">
        <v>531</v>
      </c>
      <c r="I28" s="506" t="s">
        <v>519</v>
      </c>
      <c r="J28" s="509">
        <v>2463</v>
      </c>
    </row>
    <row r="29" spans="1:10" ht="14.25" x14ac:dyDescent="0.2">
      <c r="A29" s="508"/>
      <c r="B29" s="507"/>
      <c r="C29" s="506"/>
      <c r="D29" s="508"/>
      <c r="E29" s="508"/>
      <c r="F29" s="508"/>
      <c r="G29" s="506"/>
      <c r="H29" s="508" t="s">
        <v>532</v>
      </c>
      <c r="I29" s="506" t="s">
        <v>519</v>
      </c>
      <c r="J29" s="509">
        <v>10000</v>
      </c>
    </row>
    <row r="30" spans="1:10" ht="15" thickBot="1" x14ac:dyDescent="0.25">
      <c r="A30" s="515" t="s">
        <v>534</v>
      </c>
      <c r="B30" s="516"/>
      <c r="C30" s="517">
        <v>132</v>
      </c>
      <c r="D30" s="516"/>
      <c r="E30" s="516"/>
      <c r="F30" s="516"/>
      <c r="G30" s="517">
        <v>31</v>
      </c>
      <c r="H30" s="516"/>
      <c r="I30" s="517"/>
      <c r="J30" s="518">
        <f>SUM(J27:J29)+J26</f>
        <v>0</v>
      </c>
    </row>
    <row r="31" spans="1:10" ht="13.5" thickTop="1" x14ac:dyDescent="0.2">
      <c r="A31" s="519"/>
      <c r="B31" s="519"/>
      <c r="C31" s="519"/>
      <c r="D31" s="519"/>
      <c r="E31" s="519"/>
      <c r="F31" s="519"/>
      <c r="G31" s="519"/>
      <c r="H31" s="519"/>
      <c r="I31" s="519"/>
      <c r="J31" s="519"/>
    </row>
    <row r="32" spans="1:10" ht="14.25" x14ac:dyDescent="0.2">
      <c r="A32" s="506">
        <v>118</v>
      </c>
      <c r="B32" s="520">
        <v>41736</v>
      </c>
      <c r="C32" s="506">
        <v>132</v>
      </c>
      <c r="D32" s="506" t="s">
        <v>535</v>
      </c>
      <c r="E32" s="506" t="s">
        <v>520</v>
      </c>
      <c r="F32" s="508" t="s">
        <v>517</v>
      </c>
      <c r="G32" s="506">
        <v>390</v>
      </c>
      <c r="H32" s="506" t="s">
        <v>536</v>
      </c>
      <c r="I32" s="506" t="s">
        <v>519</v>
      </c>
      <c r="J32" s="521">
        <v>4000</v>
      </c>
    </row>
    <row r="33" spans="1:10" ht="14.25" x14ac:dyDescent="0.2">
      <c r="A33" s="506"/>
      <c r="B33" s="520"/>
      <c r="C33" s="506"/>
      <c r="D33" s="506"/>
      <c r="E33" s="506"/>
      <c r="F33" s="508" t="s">
        <v>521</v>
      </c>
      <c r="G33" s="506"/>
      <c r="H33" s="506" t="s">
        <v>537</v>
      </c>
      <c r="I33" s="506" t="s">
        <v>519</v>
      </c>
      <c r="J33" s="521">
        <v>1520</v>
      </c>
    </row>
    <row r="34" spans="1:10" s="514" customFormat="1" ht="14.25" x14ac:dyDescent="0.2">
      <c r="A34" s="522"/>
      <c r="B34" s="522"/>
      <c r="C34" s="522"/>
      <c r="D34" s="522"/>
      <c r="E34" s="522"/>
      <c r="F34" s="522"/>
      <c r="G34" s="522">
        <v>390</v>
      </c>
      <c r="H34" s="522"/>
      <c r="I34" s="522"/>
      <c r="J34" s="523">
        <v>5520</v>
      </c>
    </row>
    <row r="35" spans="1:10" ht="14.25" x14ac:dyDescent="0.2">
      <c r="A35" s="506"/>
      <c r="B35" s="520"/>
      <c r="C35" s="506"/>
      <c r="D35" s="506"/>
      <c r="E35" s="506" t="s">
        <v>520</v>
      </c>
      <c r="F35" s="506"/>
      <c r="G35" s="506">
        <v>380</v>
      </c>
      <c r="H35" s="506" t="s">
        <v>536</v>
      </c>
      <c r="I35" s="506" t="s">
        <v>519</v>
      </c>
      <c r="J35" s="521">
        <v>6000</v>
      </c>
    </row>
    <row r="36" spans="1:10" ht="14.25" x14ac:dyDescent="0.2">
      <c r="A36" s="506"/>
      <c r="B36" s="520"/>
      <c r="C36" s="506"/>
      <c r="D36" s="506"/>
      <c r="E36" s="506"/>
      <c r="F36" s="506"/>
      <c r="G36" s="506"/>
      <c r="H36" s="506" t="s">
        <v>537</v>
      </c>
      <c r="I36" s="506" t="s">
        <v>519</v>
      </c>
      <c r="J36" s="521">
        <v>2280</v>
      </c>
    </row>
    <row r="37" spans="1:10" s="514" customFormat="1" ht="14.25" x14ac:dyDescent="0.2">
      <c r="A37" s="522"/>
      <c r="B37" s="522"/>
      <c r="C37" s="522"/>
      <c r="D37" s="522"/>
      <c r="E37" s="522"/>
      <c r="F37" s="522"/>
      <c r="G37" s="522">
        <v>380</v>
      </c>
      <c r="H37" s="522"/>
      <c r="I37" s="522"/>
      <c r="J37" s="523">
        <v>8280</v>
      </c>
    </row>
    <row r="38" spans="1:10" ht="14.25" x14ac:dyDescent="0.2">
      <c r="A38" s="506"/>
      <c r="B38" s="520"/>
      <c r="C38" s="506"/>
      <c r="D38" s="506"/>
      <c r="E38" s="506" t="s">
        <v>520</v>
      </c>
      <c r="F38" s="506"/>
      <c r="G38" s="506">
        <v>370</v>
      </c>
      <c r="H38" s="506" t="s">
        <v>536</v>
      </c>
      <c r="I38" s="506" t="s">
        <v>519</v>
      </c>
      <c r="J38" s="521">
        <v>3000</v>
      </c>
    </row>
    <row r="39" spans="1:10" ht="14.25" x14ac:dyDescent="0.2">
      <c r="A39" s="506"/>
      <c r="B39" s="520"/>
      <c r="C39" s="506"/>
      <c r="D39" s="506"/>
      <c r="E39" s="506"/>
      <c r="F39" s="506"/>
      <c r="G39" s="506"/>
      <c r="H39" s="506" t="s">
        <v>537</v>
      </c>
      <c r="I39" s="506" t="s">
        <v>519</v>
      </c>
      <c r="J39" s="521">
        <v>1140</v>
      </c>
    </row>
    <row r="40" spans="1:10" s="514" customFormat="1" ht="14.25" x14ac:dyDescent="0.2">
      <c r="A40" s="522"/>
      <c r="B40" s="522"/>
      <c r="C40" s="522"/>
      <c r="D40" s="522"/>
      <c r="E40" s="522"/>
      <c r="F40" s="522"/>
      <c r="G40" s="522">
        <v>370</v>
      </c>
      <c r="H40" s="522"/>
      <c r="I40" s="522"/>
      <c r="J40" s="523">
        <v>4140</v>
      </c>
    </row>
    <row r="41" spans="1:10" ht="14.25" x14ac:dyDescent="0.2">
      <c r="A41" s="506"/>
      <c r="B41" s="520"/>
      <c r="C41" s="506"/>
      <c r="D41" s="506"/>
      <c r="E41" s="506" t="s">
        <v>520</v>
      </c>
      <c r="F41" s="506"/>
      <c r="G41" s="506">
        <v>360</v>
      </c>
      <c r="H41" s="506" t="s">
        <v>536</v>
      </c>
      <c r="I41" s="506" t="s">
        <v>519</v>
      </c>
      <c r="J41" s="521">
        <v>5000</v>
      </c>
    </row>
    <row r="42" spans="1:10" ht="14.25" x14ac:dyDescent="0.2">
      <c r="A42" s="506"/>
      <c r="B42" s="520"/>
      <c r="C42" s="506"/>
      <c r="D42" s="506"/>
      <c r="E42" s="506"/>
      <c r="F42" s="506"/>
      <c r="G42" s="506"/>
      <c r="H42" s="506" t="s">
        <v>537</v>
      </c>
      <c r="I42" s="506" t="s">
        <v>519</v>
      </c>
      <c r="J42" s="521">
        <v>1900</v>
      </c>
    </row>
    <row r="43" spans="1:10" s="514" customFormat="1" ht="14.25" x14ac:dyDescent="0.2">
      <c r="A43" s="522"/>
      <c r="B43" s="522"/>
      <c r="C43" s="522"/>
      <c r="D43" s="522"/>
      <c r="E43" s="522"/>
      <c r="F43" s="522"/>
      <c r="G43" s="522">
        <v>360</v>
      </c>
      <c r="H43" s="522"/>
      <c r="I43" s="522"/>
      <c r="J43" s="523">
        <v>6900</v>
      </c>
    </row>
    <row r="44" spans="1:10" ht="14.25" x14ac:dyDescent="0.2">
      <c r="A44" s="506"/>
      <c r="B44" s="520"/>
      <c r="C44" s="506"/>
      <c r="D44" s="506"/>
      <c r="E44" s="506" t="s">
        <v>520</v>
      </c>
      <c r="F44" s="506"/>
      <c r="G44" s="506">
        <v>340</v>
      </c>
      <c r="H44" s="506" t="s">
        <v>536</v>
      </c>
      <c r="I44" s="506" t="s">
        <v>519</v>
      </c>
      <c r="J44" s="521">
        <v>8800</v>
      </c>
    </row>
    <row r="45" spans="1:10" ht="14.25" x14ac:dyDescent="0.2">
      <c r="A45" s="506"/>
      <c r="B45" s="520"/>
      <c r="C45" s="506"/>
      <c r="D45" s="506"/>
      <c r="E45" s="506"/>
      <c r="F45" s="506"/>
      <c r="G45" s="506"/>
      <c r="H45" s="506" t="s">
        <v>537</v>
      </c>
      <c r="I45" s="506" t="s">
        <v>519</v>
      </c>
      <c r="J45" s="521">
        <v>3344</v>
      </c>
    </row>
    <row r="46" spans="1:10" s="514" customFormat="1" ht="14.25" x14ac:dyDescent="0.2">
      <c r="A46" s="522"/>
      <c r="B46" s="522"/>
      <c r="C46" s="522"/>
      <c r="D46" s="522"/>
      <c r="E46" s="522"/>
      <c r="F46" s="522"/>
      <c r="G46" s="522">
        <v>340</v>
      </c>
      <c r="H46" s="522"/>
      <c r="I46" s="522"/>
      <c r="J46" s="523">
        <v>12144</v>
      </c>
    </row>
    <row r="47" spans="1:10" ht="14.25" x14ac:dyDescent="0.2">
      <c r="A47" s="506"/>
      <c r="B47" s="520"/>
      <c r="C47" s="506"/>
      <c r="D47" s="506"/>
      <c r="E47" s="506" t="s">
        <v>520</v>
      </c>
      <c r="F47" s="506"/>
      <c r="G47" s="506">
        <v>330</v>
      </c>
      <c r="H47" s="506" t="s">
        <v>536</v>
      </c>
      <c r="I47" s="506" t="s">
        <v>519</v>
      </c>
      <c r="J47" s="521">
        <v>2000</v>
      </c>
    </row>
    <row r="48" spans="1:10" ht="14.25" x14ac:dyDescent="0.2">
      <c r="A48" s="506"/>
      <c r="B48" s="520"/>
      <c r="C48" s="506"/>
      <c r="D48" s="506"/>
      <c r="E48" s="506"/>
      <c r="F48" s="506"/>
      <c r="G48" s="506"/>
      <c r="H48" s="506" t="s">
        <v>537</v>
      </c>
      <c r="I48" s="506" t="s">
        <v>519</v>
      </c>
      <c r="J48" s="521">
        <v>760</v>
      </c>
    </row>
    <row r="49" spans="1:10" s="514" customFormat="1" ht="14.25" x14ac:dyDescent="0.2">
      <c r="A49" s="522"/>
      <c r="B49" s="522"/>
      <c r="C49" s="522"/>
      <c r="D49" s="522"/>
      <c r="E49" s="522"/>
      <c r="F49" s="522"/>
      <c r="G49" s="522">
        <v>330</v>
      </c>
      <c r="H49" s="522"/>
      <c r="I49" s="522"/>
      <c r="J49" s="523">
        <v>2760</v>
      </c>
    </row>
    <row r="50" spans="1:10" ht="14.25" x14ac:dyDescent="0.2">
      <c r="A50" s="506"/>
      <c r="B50" s="520"/>
      <c r="C50" s="506"/>
      <c r="D50" s="506"/>
      <c r="E50" s="506" t="s">
        <v>520</v>
      </c>
      <c r="F50" s="506"/>
      <c r="G50" s="506">
        <v>320</v>
      </c>
      <c r="H50" s="506" t="s">
        <v>536</v>
      </c>
      <c r="I50" s="506" t="s">
        <v>519</v>
      </c>
      <c r="J50" s="521">
        <v>1200</v>
      </c>
    </row>
    <row r="51" spans="1:10" ht="14.25" x14ac:dyDescent="0.2">
      <c r="A51" s="506"/>
      <c r="B51" s="520"/>
      <c r="C51" s="506"/>
      <c r="D51" s="506"/>
      <c r="E51" s="506"/>
      <c r="F51" s="506"/>
      <c r="G51" s="506"/>
      <c r="H51" s="506" t="s">
        <v>537</v>
      </c>
      <c r="I51" s="506" t="s">
        <v>519</v>
      </c>
      <c r="J51" s="521">
        <v>456</v>
      </c>
    </row>
    <row r="52" spans="1:10" s="514" customFormat="1" ht="14.25" x14ac:dyDescent="0.2">
      <c r="A52" s="522"/>
      <c r="B52" s="522"/>
      <c r="C52" s="522"/>
      <c r="D52" s="522"/>
      <c r="E52" s="522"/>
      <c r="F52" s="522"/>
      <c r="G52" s="522">
        <v>320</v>
      </c>
      <c r="H52" s="522"/>
      <c r="I52" s="522"/>
      <c r="J52" s="523">
        <v>1656</v>
      </c>
    </row>
    <row r="53" spans="1:10" ht="14.25" x14ac:dyDescent="0.2">
      <c r="A53" s="506"/>
      <c r="B53" s="520"/>
      <c r="C53" s="506"/>
      <c r="D53" s="506"/>
      <c r="E53" s="506" t="s">
        <v>520</v>
      </c>
      <c r="F53" s="506"/>
      <c r="G53" s="506">
        <v>310</v>
      </c>
      <c r="H53" s="506" t="s">
        <v>536</v>
      </c>
      <c r="I53" s="506" t="s">
        <v>519</v>
      </c>
      <c r="J53" s="521">
        <v>2000</v>
      </c>
    </row>
    <row r="54" spans="1:10" ht="14.25" x14ac:dyDescent="0.2">
      <c r="A54" s="506"/>
      <c r="B54" s="520"/>
      <c r="C54" s="506"/>
      <c r="D54" s="506"/>
      <c r="E54" s="506"/>
      <c r="F54" s="506"/>
      <c r="G54" s="506"/>
      <c r="H54" s="506" t="s">
        <v>537</v>
      </c>
      <c r="I54" s="506" t="s">
        <v>519</v>
      </c>
      <c r="J54" s="521">
        <v>760</v>
      </c>
    </row>
    <row r="55" spans="1:10" s="514" customFormat="1" ht="14.25" x14ac:dyDescent="0.2">
      <c r="A55" s="522"/>
      <c r="B55" s="522"/>
      <c r="C55" s="522"/>
      <c r="D55" s="522"/>
      <c r="E55" s="522"/>
      <c r="F55" s="522"/>
      <c r="G55" s="522">
        <v>310</v>
      </c>
      <c r="H55" s="522"/>
      <c r="I55" s="522"/>
      <c r="J55" s="523">
        <v>2760</v>
      </c>
    </row>
    <row r="56" spans="1:10" ht="14.25" x14ac:dyDescent="0.2">
      <c r="A56" s="506"/>
      <c r="B56" s="520"/>
      <c r="C56" s="506"/>
      <c r="D56" s="506"/>
      <c r="E56" s="506" t="s">
        <v>516</v>
      </c>
      <c r="F56" s="506"/>
      <c r="G56" s="506">
        <v>31</v>
      </c>
      <c r="H56" s="506" t="s">
        <v>538</v>
      </c>
      <c r="I56" s="506" t="s">
        <v>519</v>
      </c>
      <c r="J56" s="521">
        <v>-176400</v>
      </c>
    </row>
    <row r="57" spans="1:10" ht="14.25" x14ac:dyDescent="0.2">
      <c r="A57" s="506"/>
      <c r="B57" s="520"/>
      <c r="C57" s="506"/>
      <c r="D57" s="506"/>
      <c r="E57" s="506"/>
      <c r="F57" s="506"/>
      <c r="G57" s="506"/>
      <c r="H57" s="506" t="s">
        <v>539</v>
      </c>
      <c r="I57" s="506" t="s">
        <v>519</v>
      </c>
      <c r="J57" s="521">
        <v>-17640</v>
      </c>
    </row>
    <row r="58" spans="1:10" ht="14.25" x14ac:dyDescent="0.2">
      <c r="A58" s="506"/>
      <c r="B58" s="520"/>
      <c r="C58" s="506"/>
      <c r="D58" s="506"/>
      <c r="E58" s="506"/>
      <c r="F58" s="506"/>
      <c r="G58" s="506"/>
      <c r="H58" s="506" t="s">
        <v>540</v>
      </c>
      <c r="I58" s="506" t="s">
        <v>519</v>
      </c>
      <c r="J58" s="521">
        <v>-2470</v>
      </c>
    </row>
    <row r="59" spans="1:10" ht="14.25" x14ac:dyDescent="0.2">
      <c r="A59" s="506"/>
      <c r="B59" s="520"/>
      <c r="C59" s="506"/>
      <c r="D59" s="506"/>
      <c r="E59" s="506"/>
      <c r="F59" s="506"/>
      <c r="G59" s="506"/>
      <c r="H59" s="506" t="s">
        <v>537</v>
      </c>
      <c r="I59" s="506" t="s">
        <v>519</v>
      </c>
      <c r="J59" s="521">
        <v>-24696</v>
      </c>
    </row>
    <row r="60" spans="1:10" ht="14.25" x14ac:dyDescent="0.2">
      <c r="A60" s="506"/>
      <c r="B60" s="520"/>
      <c r="C60" s="506"/>
      <c r="D60" s="506"/>
      <c r="E60" s="506"/>
      <c r="F60" s="506"/>
      <c r="G60" s="506"/>
      <c r="H60" s="506" t="s">
        <v>541</v>
      </c>
      <c r="I60" s="506" t="s">
        <v>519</v>
      </c>
      <c r="J60" s="521">
        <v>-1411</v>
      </c>
    </row>
    <row r="61" spans="1:10" ht="14.25" x14ac:dyDescent="0.2">
      <c r="A61" s="506"/>
      <c r="B61" s="520"/>
      <c r="C61" s="506"/>
      <c r="D61" s="506"/>
      <c r="E61" s="506"/>
      <c r="F61" s="506"/>
      <c r="G61" s="506"/>
      <c r="H61" s="506" t="s">
        <v>542</v>
      </c>
      <c r="I61" s="506" t="s">
        <v>519</v>
      </c>
      <c r="J61" s="521">
        <v>-5292</v>
      </c>
    </row>
    <row r="62" spans="1:10" ht="14.25" x14ac:dyDescent="0.2">
      <c r="A62" s="506"/>
      <c r="B62" s="520"/>
      <c r="C62" s="506"/>
      <c r="D62" s="506"/>
      <c r="E62" s="506"/>
      <c r="F62" s="506"/>
      <c r="G62" s="506"/>
      <c r="H62" s="506" t="s">
        <v>543</v>
      </c>
      <c r="I62" s="506" t="s">
        <v>519</v>
      </c>
      <c r="J62" s="521">
        <v>-1764</v>
      </c>
    </row>
    <row r="63" spans="1:10" ht="14.25" x14ac:dyDescent="0.2">
      <c r="A63" s="506"/>
      <c r="B63" s="520"/>
      <c r="C63" s="506"/>
      <c r="D63" s="506"/>
      <c r="E63" s="506"/>
      <c r="F63" s="506"/>
      <c r="G63" s="506"/>
      <c r="H63" s="506" t="s">
        <v>544</v>
      </c>
      <c r="I63" s="506" t="s">
        <v>519</v>
      </c>
      <c r="J63" s="521">
        <v>-441</v>
      </c>
    </row>
    <row r="64" spans="1:10" ht="14.25" x14ac:dyDescent="0.2">
      <c r="A64" s="506"/>
      <c r="B64" s="520"/>
      <c r="C64" s="506"/>
      <c r="D64" s="506"/>
      <c r="E64" s="506"/>
      <c r="F64" s="506"/>
      <c r="G64" s="506"/>
      <c r="H64" s="506" t="s">
        <v>545</v>
      </c>
      <c r="I64" s="506" t="s">
        <v>519</v>
      </c>
      <c r="J64" s="521">
        <v>-8379</v>
      </c>
    </row>
    <row r="65" spans="1:10" ht="14.25" x14ac:dyDescent="0.2">
      <c r="A65" s="506"/>
      <c r="B65" s="520"/>
      <c r="C65" s="506"/>
      <c r="D65" s="506"/>
      <c r="E65" s="506"/>
      <c r="F65" s="506"/>
      <c r="G65" s="506"/>
      <c r="H65" s="506" t="s">
        <v>546</v>
      </c>
      <c r="I65" s="506" t="s">
        <v>519</v>
      </c>
      <c r="J65" s="521">
        <v>-4939</v>
      </c>
    </row>
    <row r="66" spans="1:10" s="514" customFormat="1" ht="14.25" x14ac:dyDescent="0.2">
      <c r="A66" s="522"/>
      <c r="B66" s="522"/>
      <c r="C66" s="522"/>
      <c r="D66" s="522"/>
      <c r="E66" s="522"/>
      <c r="F66" s="522"/>
      <c r="G66" s="522">
        <v>31</v>
      </c>
      <c r="H66" s="522"/>
      <c r="I66" s="522"/>
      <c r="J66" s="523">
        <v>-243432</v>
      </c>
    </row>
    <row r="67" spans="1:10" ht="14.25" x14ac:dyDescent="0.2">
      <c r="A67" s="506"/>
      <c r="B67" s="520"/>
      <c r="C67" s="506"/>
      <c r="D67" s="506"/>
      <c r="E67" s="506" t="s">
        <v>520</v>
      </c>
      <c r="F67" s="506"/>
      <c r="G67" s="506">
        <v>300</v>
      </c>
      <c r="H67" s="506" t="s">
        <v>536</v>
      </c>
      <c r="I67" s="506" t="s">
        <v>519</v>
      </c>
      <c r="J67" s="521">
        <v>6000</v>
      </c>
    </row>
    <row r="68" spans="1:10" ht="14.25" x14ac:dyDescent="0.2">
      <c r="A68" s="506"/>
      <c r="B68" s="520"/>
      <c r="C68" s="506"/>
      <c r="D68" s="506"/>
      <c r="E68" s="506"/>
      <c r="F68" s="506"/>
      <c r="G68" s="506"/>
      <c r="H68" s="506" t="s">
        <v>537</v>
      </c>
      <c r="I68" s="506" t="s">
        <v>519</v>
      </c>
      <c r="J68" s="521">
        <v>2280</v>
      </c>
    </row>
    <row r="69" spans="1:10" s="514" customFormat="1" ht="14.25" x14ac:dyDescent="0.2">
      <c r="A69" s="522"/>
      <c r="B69" s="522"/>
      <c r="C69" s="522"/>
      <c r="D69" s="522"/>
      <c r="E69" s="522"/>
      <c r="F69" s="522"/>
      <c r="G69" s="522">
        <v>300</v>
      </c>
      <c r="H69" s="522"/>
      <c r="I69" s="522"/>
      <c r="J69" s="523">
        <v>8280</v>
      </c>
    </row>
    <row r="70" spans="1:10" ht="14.25" x14ac:dyDescent="0.2">
      <c r="A70" s="506"/>
      <c r="B70" s="520"/>
      <c r="C70" s="506"/>
      <c r="D70" s="506"/>
      <c r="E70" s="506" t="s">
        <v>520</v>
      </c>
      <c r="F70" s="506"/>
      <c r="G70" s="506">
        <v>290</v>
      </c>
      <c r="H70" s="506" t="s">
        <v>536</v>
      </c>
      <c r="I70" s="506" t="s">
        <v>519</v>
      </c>
      <c r="J70" s="521">
        <v>4500</v>
      </c>
    </row>
    <row r="71" spans="1:10" ht="14.25" x14ac:dyDescent="0.2">
      <c r="A71" s="506"/>
      <c r="B71" s="520"/>
      <c r="C71" s="506"/>
      <c r="D71" s="506"/>
      <c r="E71" s="506"/>
      <c r="F71" s="506"/>
      <c r="G71" s="506"/>
      <c r="H71" s="506" t="s">
        <v>537</v>
      </c>
      <c r="I71" s="506" t="s">
        <v>519</v>
      </c>
      <c r="J71" s="521">
        <v>1710</v>
      </c>
    </row>
    <row r="72" spans="1:10" s="514" customFormat="1" ht="14.25" x14ac:dyDescent="0.2">
      <c r="A72" s="522"/>
      <c r="B72" s="522"/>
      <c r="C72" s="522"/>
      <c r="D72" s="522"/>
      <c r="E72" s="522"/>
      <c r="F72" s="522"/>
      <c r="G72" s="522">
        <v>290</v>
      </c>
      <c r="H72" s="522"/>
      <c r="I72" s="522"/>
      <c r="J72" s="523">
        <v>6210</v>
      </c>
    </row>
    <row r="73" spans="1:10" ht="14.25" x14ac:dyDescent="0.2">
      <c r="A73" s="506"/>
      <c r="B73" s="520"/>
      <c r="C73" s="506"/>
      <c r="D73" s="506"/>
      <c r="E73" s="506" t="s">
        <v>520</v>
      </c>
      <c r="F73" s="506"/>
      <c r="G73" s="506">
        <v>280</v>
      </c>
      <c r="H73" s="506" t="s">
        <v>536</v>
      </c>
      <c r="I73" s="506" t="s">
        <v>519</v>
      </c>
      <c r="J73" s="521">
        <v>1900</v>
      </c>
    </row>
    <row r="74" spans="1:10" ht="14.25" x14ac:dyDescent="0.2">
      <c r="A74" s="506"/>
      <c r="B74" s="520"/>
      <c r="C74" s="506"/>
      <c r="D74" s="506"/>
      <c r="E74" s="506"/>
      <c r="F74" s="506"/>
      <c r="G74" s="506"/>
      <c r="H74" s="506" t="s">
        <v>537</v>
      </c>
      <c r="I74" s="506" t="s">
        <v>519</v>
      </c>
      <c r="J74" s="521">
        <v>722</v>
      </c>
    </row>
    <row r="75" spans="1:10" s="514" customFormat="1" ht="14.25" x14ac:dyDescent="0.2">
      <c r="A75" s="522"/>
      <c r="B75" s="522"/>
      <c r="C75" s="522"/>
      <c r="D75" s="522"/>
      <c r="E75" s="522"/>
      <c r="F75" s="522"/>
      <c r="G75" s="522">
        <v>280</v>
      </c>
      <c r="H75" s="522"/>
      <c r="I75" s="522"/>
      <c r="J75" s="523">
        <v>2622</v>
      </c>
    </row>
    <row r="76" spans="1:10" ht="14.25" x14ac:dyDescent="0.2">
      <c r="A76" s="506"/>
      <c r="B76" s="520"/>
      <c r="C76" s="506"/>
      <c r="D76" s="506"/>
      <c r="E76" s="506" t="s">
        <v>520</v>
      </c>
      <c r="F76" s="506"/>
      <c r="G76" s="506">
        <v>270</v>
      </c>
      <c r="H76" s="506" t="s">
        <v>536</v>
      </c>
      <c r="I76" s="506" t="s">
        <v>519</v>
      </c>
      <c r="J76" s="521">
        <v>7500</v>
      </c>
    </row>
    <row r="77" spans="1:10" ht="14.25" x14ac:dyDescent="0.2">
      <c r="A77" s="506"/>
      <c r="B77" s="520"/>
      <c r="C77" s="506"/>
      <c r="D77" s="506"/>
      <c r="E77" s="506"/>
      <c r="F77" s="506"/>
      <c r="G77" s="506"/>
      <c r="H77" s="506" t="s">
        <v>537</v>
      </c>
      <c r="I77" s="506" t="s">
        <v>519</v>
      </c>
      <c r="J77" s="521">
        <v>2850</v>
      </c>
    </row>
    <row r="78" spans="1:10" s="514" customFormat="1" ht="14.25" x14ac:dyDescent="0.2">
      <c r="A78" s="522"/>
      <c r="B78" s="522"/>
      <c r="C78" s="522"/>
      <c r="D78" s="522"/>
      <c r="E78" s="522"/>
      <c r="F78" s="522"/>
      <c r="G78" s="522">
        <v>270</v>
      </c>
      <c r="H78" s="522"/>
      <c r="I78" s="522"/>
      <c r="J78" s="523">
        <v>10350</v>
      </c>
    </row>
    <row r="79" spans="1:10" ht="14.25" x14ac:dyDescent="0.2">
      <c r="A79" s="506"/>
      <c r="B79" s="520"/>
      <c r="C79" s="506"/>
      <c r="D79" s="506"/>
      <c r="E79" s="506" t="s">
        <v>520</v>
      </c>
      <c r="F79" s="506"/>
      <c r="G79" s="506">
        <v>260</v>
      </c>
      <c r="H79" s="506" t="s">
        <v>536</v>
      </c>
      <c r="I79" s="506" t="s">
        <v>519</v>
      </c>
      <c r="J79" s="521">
        <v>3600</v>
      </c>
    </row>
    <row r="80" spans="1:10" ht="14.25" x14ac:dyDescent="0.2">
      <c r="A80" s="506"/>
      <c r="B80" s="520"/>
      <c r="C80" s="506"/>
      <c r="D80" s="506"/>
      <c r="E80" s="506"/>
      <c r="F80" s="506"/>
      <c r="G80" s="506"/>
      <c r="H80" s="506" t="s">
        <v>537</v>
      </c>
      <c r="I80" s="506" t="s">
        <v>519</v>
      </c>
      <c r="J80" s="521">
        <v>1368</v>
      </c>
    </row>
    <row r="81" spans="1:10" s="514" customFormat="1" ht="14.25" x14ac:dyDescent="0.2">
      <c r="A81" s="522"/>
      <c r="B81" s="522"/>
      <c r="C81" s="522"/>
      <c r="D81" s="522"/>
      <c r="E81" s="522"/>
      <c r="F81" s="522"/>
      <c r="G81" s="522">
        <v>260</v>
      </c>
      <c r="H81" s="522"/>
      <c r="I81" s="522"/>
      <c r="J81" s="523">
        <v>4968</v>
      </c>
    </row>
    <row r="82" spans="1:10" ht="14.25" x14ac:dyDescent="0.2">
      <c r="A82" s="506"/>
      <c r="B82" s="520"/>
      <c r="C82" s="506"/>
      <c r="D82" s="506"/>
      <c r="E82" s="506" t="s">
        <v>520</v>
      </c>
      <c r="F82" s="506"/>
      <c r="G82" s="506">
        <v>250</v>
      </c>
      <c r="H82" s="506" t="s">
        <v>536</v>
      </c>
      <c r="I82" s="506" t="s">
        <v>519</v>
      </c>
      <c r="J82" s="521">
        <v>4000</v>
      </c>
    </row>
    <row r="83" spans="1:10" ht="14.25" x14ac:dyDescent="0.2">
      <c r="A83" s="506"/>
      <c r="B83" s="520"/>
      <c r="C83" s="506"/>
      <c r="D83" s="506"/>
      <c r="E83" s="506"/>
      <c r="F83" s="506"/>
      <c r="G83" s="506"/>
      <c r="H83" s="506" t="s">
        <v>537</v>
      </c>
      <c r="I83" s="506" t="s">
        <v>519</v>
      </c>
      <c r="J83" s="521">
        <v>1520</v>
      </c>
    </row>
    <row r="84" spans="1:10" s="514" customFormat="1" ht="14.25" x14ac:dyDescent="0.2">
      <c r="A84" s="522"/>
      <c r="B84" s="522"/>
      <c r="C84" s="522"/>
      <c r="D84" s="522"/>
      <c r="E84" s="522"/>
      <c r="F84" s="522"/>
      <c r="G84" s="522">
        <v>250</v>
      </c>
      <c r="H84" s="522"/>
      <c r="I84" s="522"/>
      <c r="J84" s="523">
        <v>5520</v>
      </c>
    </row>
    <row r="85" spans="1:10" ht="14.25" x14ac:dyDescent="0.2">
      <c r="A85" s="506"/>
      <c r="B85" s="520"/>
      <c r="C85" s="506"/>
      <c r="D85" s="506"/>
      <c r="E85" s="506" t="s">
        <v>520</v>
      </c>
      <c r="F85" s="506"/>
      <c r="G85" s="506">
        <v>240</v>
      </c>
      <c r="H85" s="506" t="s">
        <v>536</v>
      </c>
      <c r="I85" s="506" t="s">
        <v>519</v>
      </c>
      <c r="J85" s="521">
        <v>2000</v>
      </c>
    </row>
    <row r="86" spans="1:10" ht="14.25" x14ac:dyDescent="0.2">
      <c r="A86" s="506"/>
      <c r="B86" s="520"/>
      <c r="C86" s="506"/>
      <c r="D86" s="506"/>
      <c r="E86" s="506"/>
      <c r="F86" s="506"/>
      <c r="G86" s="506"/>
      <c r="H86" s="506" t="s">
        <v>537</v>
      </c>
      <c r="I86" s="506" t="s">
        <v>519</v>
      </c>
      <c r="J86" s="521">
        <v>760</v>
      </c>
    </row>
    <row r="87" spans="1:10" s="514" customFormat="1" ht="14.25" x14ac:dyDescent="0.2">
      <c r="A87" s="522"/>
      <c r="B87" s="522"/>
      <c r="C87" s="522"/>
      <c r="D87" s="522"/>
      <c r="E87" s="522"/>
      <c r="F87" s="522"/>
      <c r="G87" s="522">
        <v>240</v>
      </c>
      <c r="H87" s="522"/>
      <c r="I87" s="522"/>
      <c r="J87" s="523">
        <v>2760</v>
      </c>
    </row>
    <row r="88" spans="1:10" ht="14.25" x14ac:dyDescent="0.2">
      <c r="A88" s="506"/>
      <c r="B88" s="520"/>
      <c r="C88" s="506"/>
      <c r="D88" s="506"/>
      <c r="E88" s="506" t="s">
        <v>520</v>
      </c>
      <c r="F88" s="506"/>
      <c r="G88" s="506">
        <v>230</v>
      </c>
      <c r="H88" s="506" t="s">
        <v>536</v>
      </c>
      <c r="I88" s="506" t="s">
        <v>519</v>
      </c>
      <c r="J88" s="521">
        <v>3500</v>
      </c>
    </row>
    <row r="89" spans="1:10" ht="14.25" x14ac:dyDescent="0.2">
      <c r="A89" s="506"/>
      <c r="B89" s="520"/>
      <c r="C89" s="506"/>
      <c r="D89" s="506"/>
      <c r="E89" s="506"/>
      <c r="F89" s="506"/>
      <c r="G89" s="506"/>
      <c r="H89" s="506" t="s">
        <v>537</v>
      </c>
      <c r="I89" s="506" t="s">
        <v>519</v>
      </c>
      <c r="J89" s="521">
        <v>1330</v>
      </c>
    </row>
    <row r="90" spans="1:10" s="514" customFormat="1" ht="14.25" x14ac:dyDescent="0.2">
      <c r="A90" s="522"/>
      <c r="B90" s="522"/>
      <c r="C90" s="522"/>
      <c r="D90" s="522"/>
      <c r="E90" s="522"/>
      <c r="F90" s="522"/>
      <c r="G90" s="522">
        <v>230</v>
      </c>
      <c r="H90" s="522"/>
      <c r="I90" s="522"/>
      <c r="J90" s="523">
        <v>4830</v>
      </c>
    </row>
    <row r="91" spans="1:10" ht="14.25" x14ac:dyDescent="0.2">
      <c r="A91" s="506"/>
      <c r="B91" s="520"/>
      <c r="C91" s="506"/>
      <c r="D91" s="506"/>
      <c r="E91" s="506" t="s">
        <v>520</v>
      </c>
      <c r="F91" s="506"/>
      <c r="G91" s="506">
        <v>220</v>
      </c>
      <c r="H91" s="506" t="s">
        <v>536</v>
      </c>
      <c r="I91" s="506" t="s">
        <v>519</v>
      </c>
      <c r="J91" s="521">
        <v>2500</v>
      </c>
    </row>
    <row r="92" spans="1:10" ht="14.25" x14ac:dyDescent="0.2">
      <c r="A92" s="506"/>
      <c r="B92" s="520"/>
      <c r="C92" s="506"/>
      <c r="D92" s="506"/>
      <c r="E92" s="506"/>
      <c r="F92" s="506"/>
      <c r="G92" s="506"/>
      <c r="H92" s="506" t="s">
        <v>537</v>
      </c>
      <c r="I92" s="506" t="s">
        <v>519</v>
      </c>
      <c r="J92" s="521">
        <v>950</v>
      </c>
    </row>
    <row r="93" spans="1:10" s="514" customFormat="1" ht="14.25" x14ac:dyDescent="0.2">
      <c r="A93" s="522"/>
      <c r="B93" s="522"/>
      <c r="C93" s="522"/>
      <c r="D93" s="522"/>
      <c r="E93" s="522"/>
      <c r="F93" s="522"/>
      <c r="G93" s="522">
        <v>220</v>
      </c>
      <c r="H93" s="522"/>
      <c r="I93" s="522"/>
      <c r="J93" s="523">
        <v>3450</v>
      </c>
    </row>
    <row r="94" spans="1:10" ht="14.25" x14ac:dyDescent="0.2">
      <c r="A94" s="506"/>
      <c r="B94" s="520"/>
      <c r="C94" s="506"/>
      <c r="D94" s="506"/>
      <c r="E94" s="506" t="s">
        <v>520</v>
      </c>
      <c r="F94" s="506"/>
      <c r="G94" s="506">
        <v>210</v>
      </c>
      <c r="H94" s="506" t="s">
        <v>536</v>
      </c>
      <c r="I94" s="506" t="s">
        <v>519</v>
      </c>
      <c r="J94" s="521">
        <v>6000</v>
      </c>
    </row>
    <row r="95" spans="1:10" ht="14.25" x14ac:dyDescent="0.2">
      <c r="A95" s="506"/>
      <c r="B95" s="520"/>
      <c r="C95" s="506"/>
      <c r="D95" s="506"/>
      <c r="E95" s="506"/>
      <c r="F95" s="506"/>
      <c r="G95" s="506"/>
      <c r="H95" s="506" t="s">
        <v>537</v>
      </c>
      <c r="I95" s="506" t="s">
        <v>519</v>
      </c>
      <c r="J95" s="521">
        <v>2280</v>
      </c>
    </row>
    <row r="96" spans="1:10" s="514" customFormat="1" ht="14.25" x14ac:dyDescent="0.2">
      <c r="A96" s="522"/>
      <c r="B96" s="522"/>
      <c r="C96" s="522"/>
      <c r="D96" s="522"/>
      <c r="E96" s="522"/>
      <c r="F96" s="522"/>
      <c r="G96" s="522">
        <v>210</v>
      </c>
      <c r="H96" s="522"/>
      <c r="I96" s="522"/>
      <c r="J96" s="523">
        <v>8280</v>
      </c>
    </row>
    <row r="97" spans="1:10" ht="14.25" x14ac:dyDescent="0.2">
      <c r="A97" s="506"/>
      <c r="B97" s="520"/>
      <c r="C97" s="506"/>
      <c r="D97" s="506"/>
      <c r="E97" s="506" t="s">
        <v>520</v>
      </c>
      <c r="F97" s="506"/>
      <c r="G97" s="506">
        <v>200</v>
      </c>
      <c r="H97" s="506" t="s">
        <v>536</v>
      </c>
      <c r="I97" s="506" t="s">
        <v>519</v>
      </c>
      <c r="J97" s="521">
        <v>3800</v>
      </c>
    </row>
    <row r="98" spans="1:10" ht="14.25" x14ac:dyDescent="0.2">
      <c r="A98" s="506"/>
      <c r="B98" s="520"/>
      <c r="C98" s="506"/>
      <c r="D98" s="506"/>
      <c r="E98" s="506"/>
      <c r="F98" s="506"/>
      <c r="G98" s="506"/>
      <c r="H98" s="506" t="s">
        <v>537</v>
      </c>
      <c r="I98" s="506" t="s">
        <v>519</v>
      </c>
      <c r="J98" s="521">
        <v>1444</v>
      </c>
    </row>
    <row r="99" spans="1:10" s="514" customFormat="1" ht="14.25" x14ac:dyDescent="0.2">
      <c r="A99" s="522"/>
      <c r="B99" s="522"/>
      <c r="C99" s="522"/>
      <c r="D99" s="522"/>
      <c r="E99" s="522"/>
      <c r="F99" s="522"/>
      <c r="G99" s="522">
        <v>200</v>
      </c>
      <c r="H99" s="522"/>
      <c r="I99" s="522"/>
      <c r="J99" s="523">
        <v>5244</v>
      </c>
    </row>
    <row r="100" spans="1:10" ht="14.25" x14ac:dyDescent="0.2">
      <c r="A100" s="506"/>
      <c r="B100" s="520"/>
      <c r="C100" s="506"/>
      <c r="D100" s="506"/>
      <c r="E100" s="506" t="s">
        <v>520</v>
      </c>
      <c r="F100" s="506"/>
      <c r="G100" s="506">
        <v>190</v>
      </c>
      <c r="H100" s="506" t="s">
        <v>536</v>
      </c>
      <c r="I100" s="506" t="s">
        <v>519</v>
      </c>
      <c r="J100" s="521">
        <v>4200</v>
      </c>
    </row>
    <row r="101" spans="1:10" ht="14.25" x14ac:dyDescent="0.2">
      <c r="A101" s="506"/>
      <c r="B101" s="520"/>
      <c r="C101" s="506"/>
      <c r="D101" s="506"/>
      <c r="E101" s="506"/>
      <c r="F101" s="506"/>
      <c r="G101" s="506"/>
      <c r="H101" s="506" t="s">
        <v>537</v>
      </c>
      <c r="I101" s="506" t="s">
        <v>519</v>
      </c>
      <c r="J101" s="521">
        <v>1596</v>
      </c>
    </row>
    <row r="102" spans="1:10" s="514" customFormat="1" ht="14.25" x14ac:dyDescent="0.2">
      <c r="A102" s="522"/>
      <c r="B102" s="522"/>
      <c r="C102" s="522"/>
      <c r="D102" s="522"/>
      <c r="E102" s="522"/>
      <c r="F102" s="522"/>
      <c r="G102" s="522">
        <v>190</v>
      </c>
      <c r="H102" s="522"/>
      <c r="I102" s="522"/>
      <c r="J102" s="523">
        <v>5796</v>
      </c>
    </row>
    <row r="103" spans="1:10" ht="14.25" x14ac:dyDescent="0.2">
      <c r="A103" s="506"/>
      <c r="B103" s="520"/>
      <c r="C103" s="506"/>
      <c r="D103" s="506"/>
      <c r="E103" s="506" t="s">
        <v>520</v>
      </c>
      <c r="F103" s="506"/>
      <c r="G103" s="506">
        <v>180</v>
      </c>
      <c r="H103" s="506" t="s">
        <v>536</v>
      </c>
      <c r="I103" s="506" t="s">
        <v>519</v>
      </c>
      <c r="J103" s="521">
        <v>3900</v>
      </c>
    </row>
    <row r="104" spans="1:10" ht="14.25" x14ac:dyDescent="0.2">
      <c r="A104" s="506"/>
      <c r="B104" s="520"/>
      <c r="C104" s="506"/>
      <c r="D104" s="506"/>
      <c r="E104" s="506"/>
      <c r="F104" s="506"/>
      <c r="G104" s="506"/>
      <c r="H104" s="506" t="s">
        <v>537</v>
      </c>
      <c r="I104" s="506" t="s">
        <v>519</v>
      </c>
      <c r="J104" s="521">
        <v>1482</v>
      </c>
    </row>
    <row r="105" spans="1:10" s="514" customFormat="1" ht="14.25" x14ac:dyDescent="0.2">
      <c r="A105" s="522"/>
      <c r="B105" s="522"/>
      <c r="C105" s="522"/>
      <c r="D105" s="522"/>
      <c r="E105" s="522"/>
      <c r="F105" s="522"/>
      <c r="G105" s="522">
        <v>180</v>
      </c>
      <c r="H105" s="522"/>
      <c r="I105" s="522"/>
      <c r="J105" s="523">
        <v>5382</v>
      </c>
    </row>
    <row r="106" spans="1:10" ht="14.25" x14ac:dyDescent="0.2">
      <c r="A106" s="506"/>
      <c r="B106" s="520"/>
      <c r="C106" s="506"/>
      <c r="D106" s="506"/>
      <c r="E106" s="506" t="s">
        <v>520</v>
      </c>
      <c r="F106" s="506"/>
      <c r="G106" s="506">
        <v>170</v>
      </c>
      <c r="H106" s="506" t="s">
        <v>536</v>
      </c>
      <c r="I106" s="506" t="s">
        <v>519</v>
      </c>
      <c r="J106" s="521">
        <v>3800</v>
      </c>
    </row>
    <row r="107" spans="1:10" ht="14.25" x14ac:dyDescent="0.2">
      <c r="A107" s="506"/>
      <c r="B107" s="520"/>
      <c r="C107" s="506"/>
      <c r="D107" s="506"/>
      <c r="E107" s="506"/>
      <c r="F107" s="506"/>
      <c r="G107" s="506"/>
      <c r="H107" s="506" t="s">
        <v>537</v>
      </c>
      <c r="I107" s="506" t="s">
        <v>519</v>
      </c>
      <c r="J107" s="521">
        <v>1444</v>
      </c>
    </row>
    <row r="108" spans="1:10" s="514" customFormat="1" ht="14.25" x14ac:dyDescent="0.2">
      <c r="A108" s="522"/>
      <c r="B108" s="522"/>
      <c r="C108" s="522"/>
      <c r="D108" s="522"/>
      <c r="E108" s="522"/>
      <c r="F108" s="522"/>
      <c r="G108" s="522">
        <v>170</v>
      </c>
      <c r="H108" s="522"/>
      <c r="I108" s="522"/>
      <c r="J108" s="523">
        <v>5244</v>
      </c>
    </row>
    <row r="109" spans="1:10" ht="14.25" x14ac:dyDescent="0.2">
      <c r="A109" s="506"/>
      <c r="B109" s="520"/>
      <c r="C109" s="506"/>
      <c r="D109" s="506"/>
      <c r="E109" s="506" t="s">
        <v>520</v>
      </c>
      <c r="F109" s="506"/>
      <c r="G109" s="506">
        <v>160</v>
      </c>
      <c r="H109" s="506" t="s">
        <v>536</v>
      </c>
      <c r="I109" s="506" t="s">
        <v>519</v>
      </c>
      <c r="J109" s="521">
        <v>7400</v>
      </c>
    </row>
    <row r="110" spans="1:10" ht="14.25" x14ac:dyDescent="0.2">
      <c r="A110" s="506"/>
      <c r="B110" s="520"/>
      <c r="C110" s="506"/>
      <c r="D110" s="506"/>
      <c r="E110" s="506"/>
      <c r="F110" s="506"/>
      <c r="G110" s="506"/>
      <c r="H110" s="506" t="s">
        <v>537</v>
      </c>
      <c r="I110" s="506" t="s">
        <v>519</v>
      </c>
      <c r="J110" s="521">
        <v>2812</v>
      </c>
    </row>
    <row r="111" spans="1:10" s="514" customFormat="1" ht="14.25" x14ac:dyDescent="0.2">
      <c r="A111" s="522"/>
      <c r="B111" s="522"/>
      <c r="C111" s="522"/>
      <c r="D111" s="522"/>
      <c r="E111" s="522"/>
      <c r="F111" s="522"/>
      <c r="G111" s="522">
        <v>160</v>
      </c>
      <c r="H111" s="522"/>
      <c r="I111" s="522"/>
      <c r="J111" s="523">
        <v>10212</v>
      </c>
    </row>
    <row r="112" spans="1:10" ht="14.25" x14ac:dyDescent="0.2">
      <c r="A112" s="506"/>
      <c r="B112" s="520"/>
      <c r="C112" s="506"/>
      <c r="D112" s="506"/>
      <c r="E112" s="506" t="s">
        <v>520</v>
      </c>
      <c r="F112" s="506"/>
      <c r="G112" s="506">
        <v>150</v>
      </c>
      <c r="H112" s="506" t="s">
        <v>536</v>
      </c>
      <c r="I112" s="506" t="s">
        <v>519</v>
      </c>
      <c r="J112" s="521">
        <v>3400</v>
      </c>
    </row>
    <row r="113" spans="1:10" ht="14.25" x14ac:dyDescent="0.2">
      <c r="A113" s="506"/>
      <c r="B113" s="520"/>
      <c r="C113" s="506"/>
      <c r="D113" s="506"/>
      <c r="E113" s="506"/>
      <c r="F113" s="506"/>
      <c r="G113" s="506"/>
      <c r="H113" s="506" t="s">
        <v>537</v>
      </c>
      <c r="I113" s="506" t="s">
        <v>519</v>
      </c>
      <c r="J113" s="521">
        <v>1292</v>
      </c>
    </row>
    <row r="114" spans="1:10" s="514" customFormat="1" ht="14.25" x14ac:dyDescent="0.2">
      <c r="A114" s="522"/>
      <c r="B114" s="522"/>
      <c r="C114" s="522"/>
      <c r="D114" s="522"/>
      <c r="E114" s="522"/>
      <c r="F114" s="522"/>
      <c r="G114" s="522">
        <v>150</v>
      </c>
      <c r="H114" s="522"/>
      <c r="I114" s="522"/>
      <c r="J114" s="523">
        <v>4692</v>
      </c>
    </row>
    <row r="115" spans="1:10" ht="14.25" x14ac:dyDescent="0.2">
      <c r="A115" s="506"/>
      <c r="B115" s="520"/>
      <c r="C115" s="506"/>
      <c r="D115" s="506"/>
      <c r="E115" s="506" t="s">
        <v>520</v>
      </c>
      <c r="F115" s="506"/>
      <c r="G115" s="506">
        <v>140</v>
      </c>
      <c r="H115" s="506" t="s">
        <v>536</v>
      </c>
      <c r="I115" s="506" t="s">
        <v>519</v>
      </c>
      <c r="J115" s="521">
        <v>4870</v>
      </c>
    </row>
    <row r="116" spans="1:10" ht="14.25" x14ac:dyDescent="0.2">
      <c r="A116" s="506"/>
      <c r="B116" s="520"/>
      <c r="C116" s="506"/>
      <c r="D116" s="506"/>
      <c r="E116" s="506"/>
      <c r="F116" s="506"/>
      <c r="G116" s="506"/>
      <c r="H116" s="506" t="s">
        <v>537</v>
      </c>
      <c r="I116" s="506" t="s">
        <v>519</v>
      </c>
      <c r="J116" s="521">
        <v>1851</v>
      </c>
    </row>
    <row r="117" spans="1:10" s="514" customFormat="1" ht="14.25" x14ac:dyDescent="0.2">
      <c r="A117" s="522"/>
      <c r="B117" s="522"/>
      <c r="C117" s="522"/>
      <c r="D117" s="522"/>
      <c r="E117" s="522"/>
      <c r="F117" s="522"/>
      <c r="G117" s="522">
        <v>140</v>
      </c>
      <c r="H117" s="522"/>
      <c r="I117" s="522"/>
      <c r="J117" s="523">
        <v>6721</v>
      </c>
    </row>
    <row r="118" spans="1:10" ht="14.25" x14ac:dyDescent="0.2">
      <c r="A118" s="506"/>
      <c r="B118" s="520"/>
      <c r="C118" s="506"/>
      <c r="D118" s="506"/>
      <c r="E118" s="506" t="s">
        <v>520</v>
      </c>
      <c r="F118" s="506"/>
      <c r="G118" s="506">
        <v>130</v>
      </c>
      <c r="H118" s="506" t="s">
        <v>536</v>
      </c>
      <c r="I118" s="506" t="s">
        <v>519</v>
      </c>
      <c r="J118" s="521">
        <v>5000</v>
      </c>
    </row>
    <row r="119" spans="1:10" ht="14.25" x14ac:dyDescent="0.2">
      <c r="A119" s="506"/>
      <c r="B119" s="520"/>
      <c r="C119" s="506"/>
      <c r="D119" s="506"/>
      <c r="E119" s="506"/>
      <c r="F119" s="506"/>
      <c r="G119" s="506"/>
      <c r="H119" s="506" t="s">
        <v>537</v>
      </c>
      <c r="I119" s="506" t="s">
        <v>519</v>
      </c>
      <c r="J119" s="521">
        <v>1900</v>
      </c>
    </row>
    <row r="120" spans="1:10" s="514" customFormat="1" ht="14.25" x14ac:dyDescent="0.2">
      <c r="A120" s="522"/>
      <c r="B120" s="522"/>
      <c r="C120" s="522"/>
      <c r="D120" s="522"/>
      <c r="E120" s="522"/>
      <c r="F120" s="522"/>
      <c r="G120" s="522">
        <v>130</v>
      </c>
      <c r="H120" s="522"/>
      <c r="I120" s="522"/>
      <c r="J120" s="523">
        <v>6900</v>
      </c>
    </row>
    <row r="121" spans="1:10" ht="14.25" x14ac:dyDescent="0.2">
      <c r="A121" s="506"/>
      <c r="B121" s="520"/>
      <c r="C121" s="506"/>
      <c r="D121" s="506"/>
      <c r="E121" s="506" t="s">
        <v>520</v>
      </c>
      <c r="F121" s="506"/>
      <c r="G121" s="506">
        <v>120</v>
      </c>
      <c r="H121" s="506" t="s">
        <v>536</v>
      </c>
      <c r="I121" s="506" t="s">
        <v>519</v>
      </c>
      <c r="J121" s="521">
        <v>4000</v>
      </c>
    </row>
    <row r="122" spans="1:10" ht="14.25" x14ac:dyDescent="0.2">
      <c r="A122" s="506"/>
      <c r="B122" s="520"/>
      <c r="C122" s="506"/>
      <c r="D122" s="506"/>
      <c r="E122" s="506"/>
      <c r="F122" s="506"/>
      <c r="G122" s="506"/>
      <c r="H122" s="506" t="s">
        <v>537</v>
      </c>
      <c r="I122" s="506" t="s">
        <v>519</v>
      </c>
      <c r="J122" s="521">
        <v>1520</v>
      </c>
    </row>
    <row r="123" spans="1:10" s="514" customFormat="1" ht="14.25" x14ac:dyDescent="0.2">
      <c r="A123" s="522"/>
      <c r="B123" s="522"/>
      <c r="C123" s="522"/>
      <c r="D123" s="522"/>
      <c r="E123" s="522"/>
      <c r="F123" s="522"/>
      <c r="G123" s="522">
        <v>120</v>
      </c>
      <c r="H123" s="522"/>
      <c r="I123" s="522"/>
      <c r="J123" s="523">
        <v>5520</v>
      </c>
    </row>
    <row r="124" spans="1:10" ht="14.25" x14ac:dyDescent="0.2">
      <c r="A124" s="506"/>
      <c r="B124" s="520"/>
      <c r="C124" s="506"/>
      <c r="D124" s="506"/>
      <c r="E124" s="506" t="s">
        <v>520</v>
      </c>
      <c r="F124" s="506"/>
      <c r="G124" s="506">
        <v>110</v>
      </c>
      <c r="H124" s="506" t="s">
        <v>536</v>
      </c>
      <c r="I124" s="506" t="s">
        <v>519</v>
      </c>
      <c r="J124" s="521">
        <v>7530</v>
      </c>
    </row>
    <row r="125" spans="1:10" ht="14.25" x14ac:dyDescent="0.2">
      <c r="A125" s="506"/>
      <c r="B125" s="520"/>
      <c r="C125" s="506"/>
      <c r="D125" s="506"/>
      <c r="E125" s="506"/>
      <c r="F125" s="506"/>
      <c r="G125" s="506"/>
      <c r="H125" s="506" t="s">
        <v>537</v>
      </c>
      <c r="I125" s="506" t="s">
        <v>519</v>
      </c>
      <c r="J125" s="521">
        <v>2861</v>
      </c>
    </row>
    <row r="126" spans="1:10" s="514" customFormat="1" ht="14.25" x14ac:dyDescent="0.2">
      <c r="A126" s="522"/>
      <c r="B126" s="522"/>
      <c r="C126" s="522"/>
      <c r="D126" s="522"/>
      <c r="E126" s="522"/>
      <c r="F126" s="522"/>
      <c r="G126" s="522">
        <v>110</v>
      </c>
      <c r="H126" s="522"/>
      <c r="I126" s="522"/>
      <c r="J126" s="523">
        <v>10391</v>
      </c>
    </row>
    <row r="127" spans="1:10" ht="14.25" x14ac:dyDescent="0.2">
      <c r="A127" s="506"/>
      <c r="B127" s="520"/>
      <c r="C127" s="506"/>
      <c r="D127" s="506"/>
      <c r="E127" s="506" t="s">
        <v>520</v>
      </c>
      <c r="F127" s="506"/>
      <c r="G127" s="506">
        <v>100</v>
      </c>
      <c r="H127" s="506" t="s">
        <v>536</v>
      </c>
      <c r="I127" s="506" t="s">
        <v>519</v>
      </c>
      <c r="J127" s="521">
        <v>5800</v>
      </c>
    </row>
    <row r="128" spans="1:10" ht="14.25" x14ac:dyDescent="0.2">
      <c r="A128" s="506"/>
      <c r="B128" s="520"/>
      <c r="C128" s="506"/>
      <c r="D128" s="506"/>
      <c r="E128" s="506"/>
      <c r="F128" s="506"/>
      <c r="G128" s="506"/>
      <c r="H128" s="506" t="s">
        <v>537</v>
      </c>
      <c r="I128" s="506" t="s">
        <v>519</v>
      </c>
      <c r="J128" s="521">
        <v>2204</v>
      </c>
    </row>
    <row r="129" spans="1:10" s="514" customFormat="1" ht="14.25" x14ac:dyDescent="0.2">
      <c r="A129" s="522"/>
      <c r="B129" s="522"/>
      <c r="C129" s="522"/>
      <c r="D129" s="522"/>
      <c r="E129" s="522"/>
      <c r="F129" s="522"/>
      <c r="G129" s="522">
        <v>100</v>
      </c>
      <c r="H129" s="522"/>
      <c r="I129" s="522"/>
      <c r="J129" s="523">
        <v>8004</v>
      </c>
    </row>
    <row r="130" spans="1:10" ht="14.25" x14ac:dyDescent="0.2">
      <c r="A130" s="506"/>
      <c r="B130" s="520"/>
      <c r="C130" s="506"/>
      <c r="D130" s="506"/>
      <c r="E130" s="506" t="s">
        <v>520</v>
      </c>
      <c r="F130" s="506"/>
      <c r="G130" s="506">
        <v>90</v>
      </c>
      <c r="H130" s="506" t="s">
        <v>536</v>
      </c>
      <c r="I130" s="506" t="s">
        <v>519</v>
      </c>
      <c r="J130" s="521">
        <v>7400</v>
      </c>
    </row>
    <row r="131" spans="1:10" ht="14.25" x14ac:dyDescent="0.2">
      <c r="A131" s="506"/>
      <c r="B131" s="520"/>
      <c r="C131" s="506"/>
      <c r="D131" s="506"/>
      <c r="E131" s="506"/>
      <c r="F131" s="506"/>
      <c r="G131" s="506"/>
      <c r="H131" s="506" t="s">
        <v>537</v>
      </c>
      <c r="I131" s="506" t="s">
        <v>519</v>
      </c>
      <c r="J131" s="521">
        <v>2812</v>
      </c>
    </row>
    <row r="132" spans="1:10" s="514" customFormat="1" ht="14.25" x14ac:dyDescent="0.2">
      <c r="A132" s="522"/>
      <c r="B132" s="522"/>
      <c r="C132" s="522"/>
      <c r="D132" s="522"/>
      <c r="E132" s="522"/>
      <c r="F132" s="522"/>
      <c r="G132" s="522">
        <v>90</v>
      </c>
      <c r="H132" s="522"/>
      <c r="I132" s="522"/>
      <c r="J132" s="523">
        <v>10212</v>
      </c>
    </row>
    <row r="133" spans="1:10" ht="14.25" x14ac:dyDescent="0.2">
      <c r="A133" s="506"/>
      <c r="B133" s="520"/>
      <c r="C133" s="506"/>
      <c r="D133" s="506"/>
      <c r="E133" s="506" t="s">
        <v>520</v>
      </c>
      <c r="F133" s="506"/>
      <c r="G133" s="506">
        <v>80</v>
      </c>
      <c r="H133" s="506" t="s">
        <v>536</v>
      </c>
      <c r="I133" s="506" t="s">
        <v>519</v>
      </c>
      <c r="J133" s="521">
        <v>5800</v>
      </c>
    </row>
    <row r="134" spans="1:10" ht="14.25" x14ac:dyDescent="0.2">
      <c r="A134" s="506"/>
      <c r="B134" s="520"/>
      <c r="C134" s="506"/>
      <c r="D134" s="506"/>
      <c r="E134" s="506"/>
      <c r="F134" s="506"/>
      <c r="G134" s="506"/>
      <c r="H134" s="506" t="s">
        <v>537</v>
      </c>
      <c r="I134" s="506" t="s">
        <v>519</v>
      </c>
      <c r="J134" s="521">
        <v>2204</v>
      </c>
    </row>
    <row r="135" spans="1:10" s="514" customFormat="1" ht="14.25" x14ac:dyDescent="0.2">
      <c r="A135" s="522"/>
      <c r="B135" s="522"/>
      <c r="C135" s="522"/>
      <c r="D135" s="522"/>
      <c r="E135" s="522"/>
      <c r="F135" s="522"/>
      <c r="G135" s="522">
        <v>80</v>
      </c>
      <c r="H135" s="522"/>
      <c r="I135" s="522"/>
      <c r="J135" s="523">
        <v>8004</v>
      </c>
    </row>
    <row r="136" spans="1:10" ht="14.25" x14ac:dyDescent="0.2">
      <c r="A136" s="506"/>
      <c r="B136" s="520"/>
      <c r="C136" s="506"/>
      <c r="D136" s="506"/>
      <c r="E136" s="506" t="s">
        <v>520</v>
      </c>
      <c r="F136" s="506"/>
      <c r="G136" s="506">
        <v>70</v>
      </c>
      <c r="H136" s="506" t="s">
        <v>536</v>
      </c>
      <c r="I136" s="506" t="s">
        <v>519</v>
      </c>
      <c r="J136" s="521">
        <v>5500</v>
      </c>
    </row>
    <row r="137" spans="1:10" ht="14.25" x14ac:dyDescent="0.2">
      <c r="A137" s="506"/>
      <c r="B137" s="520"/>
      <c r="C137" s="506"/>
      <c r="D137" s="506"/>
      <c r="E137" s="506"/>
      <c r="F137" s="506"/>
      <c r="G137" s="506"/>
      <c r="H137" s="506" t="s">
        <v>537</v>
      </c>
      <c r="I137" s="506" t="s">
        <v>519</v>
      </c>
      <c r="J137" s="521">
        <v>2090</v>
      </c>
    </row>
    <row r="138" spans="1:10" s="514" customFormat="1" ht="14.25" x14ac:dyDescent="0.2">
      <c r="A138" s="522"/>
      <c r="B138" s="522"/>
      <c r="C138" s="522"/>
      <c r="D138" s="522"/>
      <c r="E138" s="522"/>
      <c r="F138" s="522"/>
      <c r="G138" s="522">
        <v>70</v>
      </c>
      <c r="H138" s="522"/>
      <c r="I138" s="522"/>
      <c r="J138" s="523">
        <v>7590</v>
      </c>
    </row>
    <row r="139" spans="1:10" ht="14.25" x14ac:dyDescent="0.2">
      <c r="A139" s="506"/>
      <c r="B139" s="520"/>
      <c r="C139" s="506"/>
      <c r="D139" s="506"/>
      <c r="E139" s="506" t="s">
        <v>520</v>
      </c>
      <c r="F139" s="506"/>
      <c r="G139" s="506">
        <v>60</v>
      </c>
      <c r="H139" s="506" t="s">
        <v>536</v>
      </c>
      <c r="I139" s="506" t="s">
        <v>519</v>
      </c>
      <c r="J139" s="521">
        <v>4500</v>
      </c>
    </row>
    <row r="140" spans="1:10" ht="14.25" x14ac:dyDescent="0.2">
      <c r="A140" s="506"/>
      <c r="B140" s="520"/>
      <c r="C140" s="506"/>
      <c r="D140" s="506"/>
      <c r="E140" s="506"/>
      <c r="F140" s="506"/>
      <c r="G140" s="506"/>
      <c r="H140" s="506" t="s">
        <v>537</v>
      </c>
      <c r="I140" s="506" t="s">
        <v>519</v>
      </c>
      <c r="J140" s="521">
        <v>1710</v>
      </c>
    </row>
    <row r="141" spans="1:10" s="514" customFormat="1" ht="14.25" x14ac:dyDescent="0.2">
      <c r="A141" s="522"/>
      <c r="B141" s="522"/>
      <c r="C141" s="522"/>
      <c r="D141" s="522"/>
      <c r="E141" s="522"/>
      <c r="F141" s="522"/>
      <c r="G141" s="522">
        <v>60</v>
      </c>
      <c r="H141" s="522"/>
      <c r="I141" s="522"/>
      <c r="J141" s="523">
        <v>6210</v>
      </c>
    </row>
    <row r="142" spans="1:10" ht="14.25" x14ac:dyDescent="0.2">
      <c r="A142" s="506"/>
      <c r="B142" s="520"/>
      <c r="C142" s="506"/>
      <c r="D142" s="506"/>
      <c r="E142" s="506" t="s">
        <v>520</v>
      </c>
      <c r="F142" s="506"/>
      <c r="G142" s="506">
        <v>50</v>
      </c>
      <c r="H142" s="506" t="s">
        <v>536</v>
      </c>
      <c r="I142" s="506" t="s">
        <v>519</v>
      </c>
      <c r="J142" s="521">
        <v>2800</v>
      </c>
    </row>
    <row r="143" spans="1:10" ht="14.25" x14ac:dyDescent="0.2">
      <c r="A143" s="506"/>
      <c r="B143" s="520"/>
      <c r="C143" s="506"/>
      <c r="D143" s="506"/>
      <c r="E143" s="506"/>
      <c r="F143" s="506"/>
      <c r="G143" s="506"/>
      <c r="H143" s="506" t="s">
        <v>537</v>
      </c>
      <c r="I143" s="506" t="s">
        <v>519</v>
      </c>
      <c r="J143" s="521">
        <v>1064</v>
      </c>
    </row>
    <row r="144" spans="1:10" s="514" customFormat="1" ht="14.25" x14ac:dyDescent="0.2">
      <c r="A144" s="522"/>
      <c r="B144" s="522"/>
      <c r="C144" s="522"/>
      <c r="D144" s="522"/>
      <c r="E144" s="522"/>
      <c r="F144" s="522"/>
      <c r="G144" s="522">
        <v>50</v>
      </c>
      <c r="H144" s="522"/>
      <c r="I144" s="522"/>
      <c r="J144" s="523">
        <v>3864</v>
      </c>
    </row>
    <row r="145" spans="1:10" ht="14.25" x14ac:dyDescent="0.2">
      <c r="A145" s="506"/>
      <c r="B145" s="520"/>
      <c r="C145" s="506"/>
      <c r="D145" s="506"/>
      <c r="E145" s="506" t="s">
        <v>520</v>
      </c>
      <c r="F145" s="506"/>
      <c r="G145" s="506">
        <v>40</v>
      </c>
      <c r="H145" s="506" t="s">
        <v>536</v>
      </c>
      <c r="I145" s="506" t="s">
        <v>519</v>
      </c>
      <c r="J145" s="521">
        <v>8200</v>
      </c>
    </row>
    <row r="146" spans="1:10" ht="14.25" x14ac:dyDescent="0.2">
      <c r="A146" s="506"/>
      <c r="B146" s="520"/>
      <c r="C146" s="506"/>
      <c r="D146" s="506"/>
      <c r="E146" s="506"/>
      <c r="F146" s="506"/>
      <c r="G146" s="506"/>
      <c r="H146" s="506" t="s">
        <v>537</v>
      </c>
      <c r="I146" s="506" t="s">
        <v>519</v>
      </c>
      <c r="J146" s="521">
        <v>3116</v>
      </c>
    </row>
    <row r="147" spans="1:10" s="514" customFormat="1" ht="14.25" x14ac:dyDescent="0.2">
      <c r="A147" s="522"/>
      <c r="B147" s="522"/>
      <c r="C147" s="522"/>
      <c r="D147" s="522"/>
      <c r="E147" s="522"/>
      <c r="F147" s="522"/>
      <c r="G147" s="522">
        <v>40</v>
      </c>
      <c r="H147" s="522"/>
      <c r="I147" s="522"/>
      <c r="J147" s="523">
        <v>11316</v>
      </c>
    </row>
    <row r="148" spans="1:10" ht="14.25" x14ac:dyDescent="0.2">
      <c r="A148" s="506"/>
      <c r="B148" s="520"/>
      <c r="C148" s="506"/>
      <c r="D148" s="506"/>
      <c r="E148" s="506" t="s">
        <v>520</v>
      </c>
      <c r="F148" s="506"/>
      <c r="G148" s="506">
        <v>20</v>
      </c>
      <c r="H148" s="506" t="s">
        <v>536</v>
      </c>
      <c r="I148" s="506" t="s">
        <v>519</v>
      </c>
      <c r="J148" s="521">
        <v>15000</v>
      </c>
    </row>
    <row r="149" spans="1:10" ht="14.25" x14ac:dyDescent="0.2">
      <c r="A149" s="506"/>
      <c r="B149" s="520"/>
      <c r="C149" s="506"/>
      <c r="D149" s="506"/>
      <c r="E149" s="506"/>
      <c r="F149" s="506"/>
      <c r="G149" s="506"/>
      <c r="H149" s="506" t="s">
        <v>537</v>
      </c>
      <c r="I149" s="506" t="s">
        <v>519</v>
      </c>
      <c r="J149" s="521">
        <v>5700</v>
      </c>
    </row>
    <row r="150" spans="1:10" s="514" customFormat="1" ht="14.25" x14ac:dyDescent="0.2">
      <c r="A150" s="510" t="s">
        <v>547</v>
      </c>
      <c r="B150" s="512"/>
      <c r="C150" s="512"/>
      <c r="D150" s="512"/>
      <c r="E150" s="512"/>
      <c r="F150" s="512"/>
      <c r="G150" s="512">
        <v>20</v>
      </c>
      <c r="H150" s="512"/>
      <c r="I150" s="512"/>
      <c r="J150" s="524">
        <v>20700</v>
      </c>
    </row>
    <row r="151" spans="1:10" ht="14.25" x14ac:dyDescent="0.2">
      <c r="A151" s="506"/>
      <c r="B151" s="506"/>
      <c r="C151" s="506"/>
      <c r="D151" s="506"/>
      <c r="E151" s="506"/>
      <c r="F151" s="506"/>
      <c r="G151" s="506"/>
      <c r="H151" s="506"/>
      <c r="I151" s="506"/>
      <c r="J151" s="521"/>
    </row>
    <row r="152" spans="1:10" ht="14.25" x14ac:dyDescent="0.2">
      <c r="A152" s="506">
        <v>119</v>
      </c>
      <c r="B152" s="520">
        <v>41737</v>
      </c>
      <c r="C152" s="506">
        <v>132</v>
      </c>
      <c r="D152" s="506" t="s">
        <v>548</v>
      </c>
      <c r="E152" s="506" t="s">
        <v>520</v>
      </c>
      <c r="F152" s="508" t="s">
        <v>517</v>
      </c>
      <c r="G152" s="506">
        <v>390</v>
      </c>
      <c r="H152" s="506" t="s">
        <v>549</v>
      </c>
      <c r="I152" s="506" t="s">
        <v>519</v>
      </c>
      <c r="J152" s="521">
        <v>1228</v>
      </c>
    </row>
    <row r="153" spans="1:10" ht="14.25" x14ac:dyDescent="0.2">
      <c r="A153" s="506"/>
      <c r="B153" s="520"/>
      <c r="C153" s="506"/>
      <c r="D153" s="506"/>
      <c r="E153" s="506"/>
      <c r="F153" s="508" t="s">
        <v>521</v>
      </c>
      <c r="G153" s="506"/>
      <c r="H153" s="506" t="s">
        <v>550</v>
      </c>
      <c r="I153" s="506" t="s">
        <v>519</v>
      </c>
      <c r="J153" s="521">
        <v>1841</v>
      </c>
    </row>
    <row r="154" spans="1:10" s="514" customFormat="1" ht="14.25" x14ac:dyDescent="0.2">
      <c r="A154" s="522"/>
      <c r="B154" s="522"/>
      <c r="C154" s="522"/>
      <c r="D154" s="522"/>
      <c r="E154" s="522"/>
      <c r="F154" s="522"/>
      <c r="G154" s="522">
        <v>390</v>
      </c>
      <c r="H154" s="522"/>
      <c r="I154" s="522"/>
      <c r="J154" s="523">
        <v>3069</v>
      </c>
    </row>
    <row r="155" spans="1:10" ht="14.25" x14ac:dyDescent="0.2">
      <c r="A155" s="506"/>
      <c r="B155" s="520"/>
      <c r="C155" s="506"/>
      <c r="D155" s="506"/>
      <c r="E155" s="506" t="s">
        <v>520</v>
      </c>
      <c r="F155" s="506"/>
      <c r="G155" s="506">
        <v>370</v>
      </c>
      <c r="H155" s="506" t="s">
        <v>551</v>
      </c>
      <c r="I155" s="506" t="s">
        <v>519</v>
      </c>
      <c r="J155" s="521">
        <v>1981</v>
      </c>
    </row>
    <row r="156" spans="1:10" ht="14.25" x14ac:dyDescent="0.2">
      <c r="A156" s="506"/>
      <c r="B156" s="520"/>
      <c r="C156" s="506"/>
      <c r="D156" s="506"/>
      <c r="E156" s="506"/>
      <c r="F156" s="506"/>
      <c r="G156" s="506"/>
      <c r="H156" s="506" t="s">
        <v>552</v>
      </c>
      <c r="I156" s="506" t="s">
        <v>519</v>
      </c>
      <c r="J156" s="521">
        <v>991</v>
      </c>
    </row>
    <row r="157" spans="1:10" s="514" customFormat="1" ht="14.25" x14ac:dyDescent="0.2">
      <c r="A157" s="522"/>
      <c r="B157" s="522"/>
      <c r="C157" s="522"/>
      <c r="D157" s="522"/>
      <c r="E157" s="522"/>
      <c r="F157" s="522"/>
      <c r="G157" s="522">
        <v>370</v>
      </c>
      <c r="H157" s="522"/>
      <c r="I157" s="522"/>
      <c r="J157" s="523">
        <v>2972</v>
      </c>
    </row>
    <row r="158" spans="1:10" ht="14.25" x14ac:dyDescent="0.2">
      <c r="A158" s="506"/>
      <c r="B158" s="520"/>
      <c r="C158" s="506"/>
      <c r="D158" s="506"/>
      <c r="E158" s="506" t="s">
        <v>516</v>
      </c>
      <c r="F158" s="506"/>
      <c r="G158" s="506">
        <v>31</v>
      </c>
      <c r="H158" s="506" t="s">
        <v>550</v>
      </c>
      <c r="I158" s="506" t="s">
        <v>519</v>
      </c>
      <c r="J158" s="521">
        <v>-16083</v>
      </c>
    </row>
    <row r="159" spans="1:10" ht="14.25" x14ac:dyDescent="0.2">
      <c r="A159" s="506"/>
      <c r="B159" s="520"/>
      <c r="C159" s="506"/>
      <c r="D159" s="506"/>
      <c r="E159" s="506"/>
      <c r="F159" s="506"/>
      <c r="G159" s="506"/>
      <c r="H159" s="506" t="s">
        <v>549</v>
      </c>
      <c r="I159" s="506" t="s">
        <v>519</v>
      </c>
      <c r="J159" s="521">
        <v>-7204</v>
      </c>
    </row>
    <row r="160" spans="1:10" ht="14.25" x14ac:dyDescent="0.2">
      <c r="A160" s="506"/>
      <c r="B160" s="520"/>
      <c r="C160" s="506"/>
      <c r="D160" s="506"/>
      <c r="E160" s="506"/>
      <c r="F160" s="506"/>
      <c r="G160" s="506"/>
      <c r="H160" s="506" t="s">
        <v>552</v>
      </c>
      <c r="I160" s="506" t="s">
        <v>519</v>
      </c>
      <c r="J160" s="521">
        <v>-17505</v>
      </c>
    </row>
    <row r="161" spans="1:10" ht="14.25" x14ac:dyDescent="0.2">
      <c r="A161" s="506"/>
      <c r="B161" s="520"/>
      <c r="C161" s="506"/>
      <c r="D161" s="506"/>
      <c r="E161" s="506"/>
      <c r="F161" s="506"/>
      <c r="G161" s="506"/>
      <c r="H161" s="506" t="s">
        <v>551</v>
      </c>
      <c r="I161" s="506" t="s">
        <v>519</v>
      </c>
      <c r="J161" s="521">
        <v>-35003</v>
      </c>
    </row>
    <row r="162" spans="1:10" s="514" customFormat="1" ht="14.25" x14ac:dyDescent="0.2">
      <c r="A162" s="522"/>
      <c r="B162" s="522"/>
      <c r="C162" s="522"/>
      <c r="D162" s="522"/>
      <c r="E162" s="522"/>
      <c r="F162" s="522"/>
      <c r="G162" s="522">
        <v>31</v>
      </c>
      <c r="H162" s="522"/>
      <c r="I162" s="522"/>
      <c r="J162" s="523">
        <v>-75795</v>
      </c>
    </row>
    <row r="163" spans="1:10" ht="14.25" x14ac:dyDescent="0.2">
      <c r="A163" s="506"/>
      <c r="B163" s="520"/>
      <c r="C163" s="506"/>
      <c r="D163" s="506"/>
      <c r="E163" s="506" t="s">
        <v>520</v>
      </c>
      <c r="F163" s="506"/>
      <c r="G163" s="506">
        <v>270</v>
      </c>
      <c r="H163" s="506" t="s">
        <v>550</v>
      </c>
      <c r="I163" s="506" t="s">
        <v>519</v>
      </c>
      <c r="J163" s="521">
        <v>6655</v>
      </c>
    </row>
    <row r="164" spans="1:10" ht="14.25" x14ac:dyDescent="0.2">
      <c r="A164" s="506"/>
      <c r="B164" s="520"/>
      <c r="C164" s="506"/>
      <c r="D164" s="506"/>
      <c r="E164" s="506"/>
      <c r="F164" s="506"/>
      <c r="G164" s="506"/>
      <c r="H164" s="506" t="s">
        <v>549</v>
      </c>
      <c r="I164" s="506" t="s">
        <v>519</v>
      </c>
      <c r="J164" s="521">
        <v>2941</v>
      </c>
    </row>
    <row r="165" spans="1:10" ht="14.25" x14ac:dyDescent="0.2">
      <c r="A165" s="506"/>
      <c r="B165" s="520"/>
      <c r="C165" s="506"/>
      <c r="D165" s="506"/>
      <c r="E165" s="506"/>
      <c r="F165" s="506"/>
      <c r="G165" s="506"/>
      <c r="H165" s="506" t="s">
        <v>552</v>
      </c>
      <c r="I165" s="506" t="s">
        <v>519</v>
      </c>
      <c r="J165" s="521">
        <v>1471</v>
      </c>
    </row>
    <row r="166" spans="1:10" ht="14.25" x14ac:dyDescent="0.2">
      <c r="A166" s="506"/>
      <c r="B166" s="520"/>
      <c r="C166" s="506"/>
      <c r="D166" s="506"/>
      <c r="E166" s="506"/>
      <c r="F166" s="506"/>
      <c r="G166" s="506"/>
      <c r="H166" s="506" t="s">
        <v>551</v>
      </c>
      <c r="I166" s="506" t="s">
        <v>519</v>
      </c>
      <c r="J166" s="521">
        <v>2941</v>
      </c>
    </row>
    <row r="167" spans="1:10" s="514" customFormat="1" ht="14.25" x14ac:dyDescent="0.2">
      <c r="A167" s="522"/>
      <c r="B167" s="522"/>
      <c r="C167" s="522"/>
      <c r="D167" s="522"/>
      <c r="E167" s="522"/>
      <c r="F167" s="522"/>
      <c r="G167" s="522">
        <v>270</v>
      </c>
      <c r="H167" s="522"/>
      <c r="I167" s="522"/>
      <c r="J167" s="523">
        <v>14008</v>
      </c>
    </row>
    <row r="168" spans="1:10" ht="14.25" x14ac:dyDescent="0.2">
      <c r="A168" s="506"/>
      <c r="B168" s="520"/>
      <c r="C168" s="506"/>
      <c r="D168" s="506"/>
      <c r="E168" s="506" t="s">
        <v>520</v>
      </c>
      <c r="F168" s="506"/>
      <c r="G168" s="506">
        <v>210</v>
      </c>
      <c r="H168" s="506" t="s">
        <v>552</v>
      </c>
      <c r="I168" s="506" t="s">
        <v>519</v>
      </c>
      <c r="J168" s="521">
        <v>822</v>
      </c>
    </row>
    <row r="169" spans="1:10" ht="14.25" x14ac:dyDescent="0.2">
      <c r="A169" s="506"/>
      <c r="B169" s="520"/>
      <c r="C169" s="506"/>
      <c r="D169" s="506"/>
      <c r="E169" s="506"/>
      <c r="F169" s="506"/>
      <c r="G169" s="506"/>
      <c r="H169" s="506" t="s">
        <v>551</v>
      </c>
      <c r="I169" s="506" t="s">
        <v>519</v>
      </c>
      <c r="J169" s="521">
        <v>1643</v>
      </c>
    </row>
    <row r="170" spans="1:10" s="514" customFormat="1" ht="14.25" x14ac:dyDescent="0.2">
      <c r="A170" s="522"/>
      <c r="B170" s="522"/>
      <c r="C170" s="522"/>
      <c r="D170" s="522"/>
      <c r="E170" s="522"/>
      <c r="F170" s="522"/>
      <c r="G170" s="522">
        <v>210</v>
      </c>
      <c r="H170" s="522"/>
      <c r="I170" s="522"/>
      <c r="J170" s="523">
        <v>2465</v>
      </c>
    </row>
    <row r="171" spans="1:10" ht="14.25" x14ac:dyDescent="0.2">
      <c r="A171" s="506"/>
      <c r="B171" s="520"/>
      <c r="C171" s="506"/>
      <c r="D171" s="506"/>
      <c r="E171" s="506" t="s">
        <v>520</v>
      </c>
      <c r="F171" s="506"/>
      <c r="G171" s="506">
        <v>180</v>
      </c>
      <c r="H171" s="506" t="s">
        <v>551</v>
      </c>
      <c r="I171" s="506" t="s">
        <v>519</v>
      </c>
      <c r="J171" s="521">
        <v>3067</v>
      </c>
    </row>
    <row r="172" spans="1:10" ht="14.25" x14ac:dyDescent="0.2">
      <c r="A172" s="506"/>
      <c r="B172" s="520"/>
      <c r="C172" s="506"/>
      <c r="D172" s="506"/>
      <c r="E172" s="506"/>
      <c r="F172" s="506"/>
      <c r="G172" s="506">
        <v>180</v>
      </c>
      <c r="H172" s="506" t="s">
        <v>552</v>
      </c>
      <c r="I172" s="506" t="s">
        <v>519</v>
      </c>
      <c r="J172" s="521">
        <v>1533</v>
      </c>
    </row>
    <row r="173" spans="1:10" s="514" customFormat="1" ht="14.25" x14ac:dyDescent="0.2">
      <c r="A173" s="522"/>
      <c r="B173" s="522"/>
      <c r="C173" s="522"/>
      <c r="D173" s="522"/>
      <c r="E173" s="522"/>
      <c r="F173" s="522"/>
      <c r="G173" s="522">
        <v>180</v>
      </c>
      <c r="H173" s="522"/>
      <c r="I173" s="522"/>
      <c r="J173" s="523">
        <v>4600</v>
      </c>
    </row>
    <row r="174" spans="1:10" ht="14.25" x14ac:dyDescent="0.2">
      <c r="A174" s="506"/>
      <c r="B174" s="520"/>
      <c r="C174" s="506"/>
      <c r="D174" s="506"/>
      <c r="E174" s="506" t="s">
        <v>520</v>
      </c>
      <c r="F174" s="506"/>
      <c r="G174" s="506">
        <v>150</v>
      </c>
      <c r="H174" s="506" t="s">
        <v>551</v>
      </c>
      <c r="I174" s="506" t="s">
        <v>519</v>
      </c>
      <c r="J174" s="521">
        <v>1618</v>
      </c>
    </row>
    <row r="175" spans="1:10" ht="14.25" x14ac:dyDescent="0.2">
      <c r="A175" s="506"/>
      <c r="B175" s="520"/>
      <c r="C175" s="506"/>
      <c r="D175" s="506"/>
      <c r="E175" s="506"/>
      <c r="F175" s="506"/>
      <c r="G175" s="506"/>
      <c r="H175" s="506" t="s">
        <v>552</v>
      </c>
      <c r="I175" s="506" t="s">
        <v>519</v>
      </c>
      <c r="J175" s="521">
        <v>809</v>
      </c>
    </row>
    <row r="176" spans="1:10" s="514" customFormat="1" ht="14.25" x14ac:dyDescent="0.2">
      <c r="A176" s="522"/>
      <c r="B176" s="522"/>
      <c r="C176" s="522"/>
      <c r="D176" s="522"/>
      <c r="E176" s="522"/>
      <c r="F176" s="522"/>
      <c r="G176" s="522">
        <v>150</v>
      </c>
      <c r="H176" s="522"/>
      <c r="I176" s="522"/>
      <c r="J176" s="523">
        <v>2427</v>
      </c>
    </row>
    <row r="177" spans="1:10" ht="14.25" x14ac:dyDescent="0.2">
      <c r="A177" s="506"/>
      <c r="B177" s="520"/>
      <c r="C177" s="506"/>
      <c r="D177" s="506"/>
      <c r="E177" s="506" t="s">
        <v>520</v>
      </c>
      <c r="F177" s="506"/>
      <c r="G177" s="506">
        <v>140</v>
      </c>
      <c r="H177" s="506" t="s">
        <v>552</v>
      </c>
      <c r="I177" s="506" t="s">
        <v>519</v>
      </c>
      <c r="J177" s="521">
        <v>724</v>
      </c>
    </row>
    <row r="178" spans="1:10" ht="14.25" x14ac:dyDescent="0.2">
      <c r="A178" s="506"/>
      <c r="B178" s="520"/>
      <c r="C178" s="506"/>
      <c r="D178" s="506"/>
      <c r="E178" s="506"/>
      <c r="F178" s="506"/>
      <c r="G178" s="506"/>
      <c r="H178" s="506" t="s">
        <v>551</v>
      </c>
      <c r="I178" s="506" t="s">
        <v>519</v>
      </c>
      <c r="J178" s="521">
        <v>1448</v>
      </c>
    </row>
    <row r="179" spans="1:10" s="514" customFormat="1" ht="14.25" x14ac:dyDescent="0.2">
      <c r="A179" s="522"/>
      <c r="B179" s="522"/>
      <c r="C179" s="522"/>
      <c r="D179" s="522"/>
      <c r="E179" s="522"/>
      <c r="F179" s="522"/>
      <c r="G179" s="522">
        <v>140</v>
      </c>
      <c r="H179" s="522"/>
      <c r="I179" s="522"/>
      <c r="J179" s="523">
        <v>2172</v>
      </c>
    </row>
    <row r="180" spans="1:10" ht="14.25" x14ac:dyDescent="0.2">
      <c r="A180" s="506"/>
      <c r="B180" s="520"/>
      <c r="C180" s="506"/>
      <c r="D180" s="506"/>
      <c r="E180" s="506" t="s">
        <v>520</v>
      </c>
      <c r="F180" s="506"/>
      <c r="G180" s="506">
        <v>130</v>
      </c>
      <c r="H180" s="506" t="s">
        <v>552</v>
      </c>
      <c r="I180" s="506" t="s">
        <v>519</v>
      </c>
      <c r="J180" s="521">
        <v>765</v>
      </c>
    </row>
    <row r="181" spans="1:10" ht="14.25" x14ac:dyDescent="0.2">
      <c r="A181" s="506"/>
      <c r="B181" s="520"/>
      <c r="C181" s="506"/>
      <c r="D181" s="506"/>
      <c r="E181" s="506"/>
      <c r="F181" s="506"/>
      <c r="G181" s="506"/>
      <c r="H181" s="506" t="s">
        <v>551</v>
      </c>
      <c r="I181" s="506" t="s">
        <v>519</v>
      </c>
      <c r="J181" s="521">
        <v>1529</v>
      </c>
    </row>
    <row r="182" spans="1:10" s="514" customFormat="1" ht="14.25" x14ac:dyDescent="0.2">
      <c r="A182" s="522"/>
      <c r="B182" s="522"/>
      <c r="C182" s="522"/>
      <c r="D182" s="522"/>
      <c r="E182" s="522"/>
      <c r="F182" s="522"/>
      <c r="G182" s="522">
        <v>130</v>
      </c>
      <c r="H182" s="522"/>
      <c r="I182" s="522"/>
      <c r="J182" s="523">
        <v>2294</v>
      </c>
    </row>
    <row r="183" spans="1:10" ht="14.25" x14ac:dyDescent="0.2">
      <c r="A183" s="506"/>
      <c r="B183" s="520"/>
      <c r="C183" s="506"/>
      <c r="D183" s="506"/>
      <c r="E183" s="506" t="s">
        <v>520</v>
      </c>
      <c r="F183" s="506"/>
      <c r="G183" s="506">
        <v>110</v>
      </c>
      <c r="H183" s="506" t="s">
        <v>550</v>
      </c>
      <c r="I183" s="506" t="s">
        <v>519</v>
      </c>
      <c r="J183" s="521">
        <v>3768</v>
      </c>
    </row>
    <row r="184" spans="1:10" ht="14.25" x14ac:dyDescent="0.2">
      <c r="A184" s="506"/>
      <c r="B184" s="520"/>
      <c r="C184" s="506"/>
      <c r="D184" s="506"/>
      <c r="E184" s="506"/>
      <c r="F184" s="506"/>
      <c r="G184" s="506"/>
      <c r="H184" s="506" t="s">
        <v>549</v>
      </c>
      <c r="I184" s="506" t="s">
        <v>519</v>
      </c>
      <c r="J184" s="521">
        <v>1507</v>
      </c>
    </row>
    <row r="185" spans="1:10" ht="14.25" x14ac:dyDescent="0.2">
      <c r="A185" s="506"/>
      <c r="B185" s="520"/>
      <c r="C185" s="506"/>
      <c r="D185" s="506"/>
      <c r="E185" s="506"/>
      <c r="F185" s="506"/>
      <c r="G185" s="506"/>
      <c r="H185" s="506" t="s">
        <v>552</v>
      </c>
      <c r="I185" s="506" t="s">
        <v>519</v>
      </c>
      <c r="J185" s="521">
        <v>506</v>
      </c>
    </row>
    <row r="186" spans="1:10" ht="14.25" x14ac:dyDescent="0.2">
      <c r="A186" s="506"/>
      <c r="B186" s="520"/>
      <c r="C186" s="506"/>
      <c r="D186" s="506"/>
      <c r="E186" s="506"/>
      <c r="F186" s="506"/>
      <c r="G186" s="506"/>
      <c r="H186" s="506" t="s">
        <v>551</v>
      </c>
      <c r="I186" s="506" t="s">
        <v>519</v>
      </c>
      <c r="J186" s="521">
        <v>1011</v>
      </c>
    </row>
    <row r="187" spans="1:10" s="514" customFormat="1" ht="14.25" x14ac:dyDescent="0.2">
      <c r="A187" s="522"/>
      <c r="B187" s="522"/>
      <c r="C187" s="522"/>
      <c r="D187" s="522"/>
      <c r="E187" s="522"/>
      <c r="F187" s="522"/>
      <c r="G187" s="522">
        <v>110</v>
      </c>
      <c r="H187" s="522"/>
      <c r="I187" s="522"/>
      <c r="J187" s="523">
        <v>6792</v>
      </c>
    </row>
    <row r="188" spans="1:10" ht="14.25" x14ac:dyDescent="0.2">
      <c r="A188" s="506"/>
      <c r="B188" s="520"/>
      <c r="C188" s="506"/>
      <c r="D188" s="506"/>
      <c r="E188" s="506" t="s">
        <v>520</v>
      </c>
      <c r="F188" s="506"/>
      <c r="G188" s="506">
        <v>80</v>
      </c>
      <c r="H188" s="506" t="s">
        <v>552</v>
      </c>
      <c r="I188" s="506" t="s">
        <v>519</v>
      </c>
      <c r="J188" s="521">
        <v>758</v>
      </c>
    </row>
    <row r="189" spans="1:10" ht="14.25" x14ac:dyDescent="0.2">
      <c r="A189" s="506"/>
      <c r="B189" s="520"/>
      <c r="C189" s="506"/>
      <c r="D189" s="506"/>
      <c r="E189" s="506"/>
      <c r="F189" s="506"/>
      <c r="G189" s="506"/>
      <c r="H189" s="506" t="s">
        <v>551</v>
      </c>
      <c r="I189" s="506" t="s">
        <v>519</v>
      </c>
      <c r="J189" s="521">
        <v>1515</v>
      </c>
    </row>
    <row r="190" spans="1:10" s="514" customFormat="1" ht="14.25" x14ac:dyDescent="0.2">
      <c r="A190" s="522"/>
      <c r="B190" s="522"/>
      <c r="C190" s="522"/>
      <c r="D190" s="522"/>
      <c r="E190" s="522"/>
      <c r="F190" s="522"/>
      <c r="G190" s="522">
        <v>80</v>
      </c>
      <c r="H190" s="522"/>
      <c r="I190" s="522"/>
      <c r="J190" s="523">
        <v>2273</v>
      </c>
    </row>
    <row r="191" spans="1:10" ht="14.25" x14ac:dyDescent="0.2">
      <c r="A191" s="506"/>
      <c r="B191" s="520"/>
      <c r="C191" s="506"/>
      <c r="D191" s="506"/>
      <c r="E191" s="506" t="s">
        <v>520</v>
      </c>
      <c r="F191" s="506"/>
      <c r="G191" s="506">
        <v>60</v>
      </c>
      <c r="H191" s="506" t="s">
        <v>552</v>
      </c>
      <c r="I191" s="506" t="s">
        <v>519</v>
      </c>
      <c r="J191" s="521">
        <v>1770</v>
      </c>
    </row>
    <row r="192" spans="1:10" ht="14.25" x14ac:dyDescent="0.2">
      <c r="A192" s="506"/>
      <c r="B192" s="520"/>
      <c r="C192" s="506"/>
      <c r="D192" s="506"/>
      <c r="E192" s="506"/>
      <c r="F192" s="506"/>
      <c r="G192" s="506"/>
      <c r="H192" s="506" t="s">
        <v>551</v>
      </c>
      <c r="I192" s="506" t="s">
        <v>519</v>
      </c>
      <c r="J192" s="521">
        <v>3540</v>
      </c>
    </row>
    <row r="193" spans="1:10" s="514" customFormat="1" ht="14.25" x14ac:dyDescent="0.2">
      <c r="A193" s="522"/>
      <c r="B193" s="522"/>
      <c r="C193" s="522"/>
      <c r="D193" s="522"/>
      <c r="E193" s="522"/>
      <c r="F193" s="522"/>
      <c r="G193" s="522">
        <v>60</v>
      </c>
      <c r="H193" s="522"/>
      <c r="I193" s="522"/>
      <c r="J193" s="523">
        <v>5310</v>
      </c>
    </row>
    <row r="194" spans="1:10" ht="14.25" x14ac:dyDescent="0.2">
      <c r="A194" s="506"/>
      <c r="B194" s="520"/>
      <c r="C194" s="506"/>
      <c r="D194" s="506"/>
      <c r="E194" s="506" t="s">
        <v>520</v>
      </c>
      <c r="F194" s="506"/>
      <c r="G194" s="506">
        <v>40</v>
      </c>
      <c r="H194" s="506" t="s">
        <v>550</v>
      </c>
      <c r="I194" s="506" t="s">
        <v>519</v>
      </c>
      <c r="J194" s="521">
        <v>3819</v>
      </c>
    </row>
    <row r="195" spans="1:10" ht="14.25" x14ac:dyDescent="0.2">
      <c r="A195" s="506"/>
      <c r="B195" s="520"/>
      <c r="C195" s="506"/>
      <c r="D195" s="506"/>
      <c r="E195" s="506"/>
      <c r="F195" s="506"/>
      <c r="G195" s="506"/>
      <c r="H195" s="506" t="s">
        <v>549</v>
      </c>
      <c r="I195" s="506" t="s">
        <v>519</v>
      </c>
      <c r="J195" s="521">
        <v>1528</v>
      </c>
    </row>
    <row r="196" spans="1:10" ht="14.25" x14ac:dyDescent="0.2">
      <c r="A196" s="506"/>
      <c r="B196" s="520"/>
      <c r="C196" s="506"/>
      <c r="D196" s="506"/>
      <c r="E196" s="506"/>
      <c r="F196" s="506"/>
      <c r="G196" s="506"/>
      <c r="H196" s="506" t="s">
        <v>552</v>
      </c>
      <c r="I196" s="506" t="s">
        <v>519</v>
      </c>
      <c r="J196" s="521">
        <v>765</v>
      </c>
    </row>
    <row r="197" spans="1:10" ht="14.25" x14ac:dyDescent="0.2">
      <c r="A197" s="506"/>
      <c r="B197" s="520"/>
      <c r="C197" s="506"/>
      <c r="D197" s="506"/>
      <c r="E197" s="506"/>
      <c r="F197" s="506"/>
      <c r="G197" s="506"/>
      <c r="H197" s="506" t="s">
        <v>551</v>
      </c>
      <c r="I197" s="506" t="s">
        <v>519</v>
      </c>
      <c r="J197" s="521">
        <v>1528</v>
      </c>
    </row>
    <row r="198" spans="1:10" s="514" customFormat="1" ht="14.25" x14ac:dyDescent="0.2">
      <c r="A198" s="522"/>
      <c r="B198" s="522"/>
      <c r="C198" s="522"/>
      <c r="D198" s="522"/>
      <c r="E198" s="522"/>
      <c r="F198" s="522"/>
      <c r="G198" s="522">
        <v>40</v>
      </c>
      <c r="H198" s="522"/>
      <c r="I198" s="522"/>
      <c r="J198" s="523">
        <v>7640</v>
      </c>
    </row>
    <row r="199" spans="1:10" ht="14.25" x14ac:dyDescent="0.2">
      <c r="A199" s="506"/>
      <c r="B199" s="520"/>
      <c r="C199" s="506"/>
      <c r="D199" s="506"/>
      <c r="E199" s="506" t="s">
        <v>520</v>
      </c>
      <c r="F199" s="506"/>
      <c r="G199" s="506">
        <v>20</v>
      </c>
      <c r="H199" s="506" t="s">
        <v>552</v>
      </c>
      <c r="I199" s="506" t="s">
        <v>519</v>
      </c>
      <c r="J199" s="521">
        <v>6591</v>
      </c>
    </row>
    <row r="200" spans="1:10" ht="14.25" x14ac:dyDescent="0.2">
      <c r="A200" s="506"/>
      <c r="B200" s="520"/>
      <c r="C200" s="506"/>
      <c r="D200" s="506"/>
      <c r="E200" s="506"/>
      <c r="F200" s="506"/>
      <c r="G200" s="506"/>
      <c r="H200" s="506" t="s">
        <v>551</v>
      </c>
      <c r="I200" s="506" t="s">
        <v>519</v>
      </c>
      <c r="J200" s="521">
        <v>13182</v>
      </c>
    </row>
    <row r="201" spans="1:10" s="514" customFormat="1" ht="14.25" x14ac:dyDescent="0.2">
      <c r="A201" s="510" t="s">
        <v>553</v>
      </c>
      <c r="B201" s="512"/>
      <c r="C201" s="512"/>
      <c r="D201" s="512"/>
      <c r="E201" s="512"/>
      <c r="F201" s="512"/>
      <c r="G201" s="512">
        <v>20</v>
      </c>
      <c r="H201" s="512"/>
      <c r="I201" s="512"/>
      <c r="J201" s="524">
        <v>19773</v>
      </c>
    </row>
    <row r="202" spans="1:10" x14ac:dyDescent="0.2">
      <c r="A202" s="519"/>
      <c r="B202" s="519"/>
      <c r="C202" s="519"/>
      <c r="D202" s="519"/>
      <c r="E202" s="519"/>
      <c r="F202" s="519"/>
      <c r="G202" s="519"/>
      <c r="H202" s="519"/>
      <c r="I202" s="519"/>
      <c r="J202" s="519"/>
    </row>
    <row r="203" spans="1:10" ht="14.25" x14ac:dyDescent="0.2">
      <c r="A203" s="506">
        <v>137</v>
      </c>
      <c r="B203" s="520">
        <v>41743</v>
      </c>
      <c r="C203" s="506">
        <v>132</v>
      </c>
      <c r="D203" s="506" t="s">
        <v>554</v>
      </c>
      <c r="E203" s="506" t="s">
        <v>516</v>
      </c>
      <c r="F203" s="508" t="s">
        <v>517</v>
      </c>
      <c r="G203" s="506">
        <v>35</v>
      </c>
      <c r="H203" s="506" t="s">
        <v>518</v>
      </c>
      <c r="I203" s="506" t="s">
        <v>519</v>
      </c>
      <c r="J203" s="525">
        <v>-7100</v>
      </c>
    </row>
    <row r="204" spans="1:10" ht="14.25" x14ac:dyDescent="0.2">
      <c r="A204" s="506"/>
      <c r="B204" s="520"/>
      <c r="C204" s="506"/>
      <c r="D204" s="506"/>
      <c r="E204" s="506" t="s">
        <v>520</v>
      </c>
      <c r="F204" s="508" t="s">
        <v>521</v>
      </c>
      <c r="G204" s="506">
        <v>35</v>
      </c>
      <c r="H204" s="506" t="s">
        <v>555</v>
      </c>
      <c r="I204" s="506" t="s">
        <v>519</v>
      </c>
      <c r="J204" s="525">
        <v>7100</v>
      </c>
    </row>
    <row r="205" spans="1:10" ht="14.25" x14ac:dyDescent="0.2">
      <c r="A205" s="506"/>
      <c r="B205" s="520"/>
      <c r="C205" s="506"/>
      <c r="D205" s="506"/>
      <c r="E205" s="506" t="s">
        <v>516</v>
      </c>
      <c r="F205" s="506"/>
      <c r="G205" s="506">
        <v>35</v>
      </c>
      <c r="H205" s="506" t="s">
        <v>556</v>
      </c>
      <c r="I205" s="506" t="s">
        <v>519</v>
      </c>
      <c r="J205" s="525">
        <v>-800</v>
      </c>
    </row>
    <row r="206" spans="1:10" ht="14.25" x14ac:dyDescent="0.2">
      <c r="A206" s="506"/>
      <c r="B206" s="520"/>
      <c r="C206" s="506"/>
      <c r="D206" s="506"/>
      <c r="E206" s="506" t="s">
        <v>520</v>
      </c>
      <c r="F206" s="506"/>
      <c r="G206" s="506">
        <v>35</v>
      </c>
      <c r="H206" s="506" t="s">
        <v>557</v>
      </c>
      <c r="I206" s="506" t="s">
        <v>519</v>
      </c>
      <c r="J206" s="525">
        <v>800</v>
      </c>
    </row>
    <row r="207" spans="1:10" s="514" customFormat="1" ht="14.25" x14ac:dyDescent="0.2">
      <c r="A207" s="510" t="s">
        <v>558</v>
      </c>
      <c r="B207" s="526"/>
      <c r="C207" s="512">
        <v>132</v>
      </c>
      <c r="D207" s="512"/>
      <c r="E207" s="512"/>
      <c r="F207" s="512"/>
      <c r="G207" s="512">
        <v>35</v>
      </c>
      <c r="H207" s="512"/>
      <c r="I207" s="512"/>
      <c r="J207" s="527">
        <f>SUM(J203:J206)</f>
        <v>0</v>
      </c>
    </row>
    <row r="208" spans="1:10" ht="14.25" x14ac:dyDescent="0.2">
      <c r="A208" s="528"/>
      <c r="B208" s="529"/>
      <c r="C208" s="528"/>
      <c r="D208" s="528"/>
      <c r="E208" s="528"/>
      <c r="F208" s="528"/>
      <c r="G208" s="528"/>
      <c r="H208" s="528"/>
      <c r="I208" s="528"/>
      <c r="J208" s="530"/>
    </row>
    <row r="209" spans="1:10" ht="14.25" x14ac:dyDescent="0.2">
      <c r="A209" s="506">
        <v>146</v>
      </c>
      <c r="B209" s="520">
        <v>41754</v>
      </c>
      <c r="C209" s="506">
        <v>132</v>
      </c>
      <c r="D209" s="506" t="s">
        <v>559</v>
      </c>
      <c r="E209" s="506" t="s">
        <v>516</v>
      </c>
      <c r="F209" s="508" t="s">
        <v>517</v>
      </c>
      <c r="G209" s="506">
        <v>300</v>
      </c>
      <c r="H209" s="506" t="s">
        <v>560</v>
      </c>
      <c r="I209" s="506" t="s">
        <v>519</v>
      </c>
      <c r="J209" s="525">
        <v>-540</v>
      </c>
    </row>
    <row r="210" spans="1:10" ht="14.25" x14ac:dyDescent="0.2">
      <c r="A210" s="506"/>
      <c r="B210" s="520"/>
      <c r="C210" s="506"/>
      <c r="D210" s="506"/>
      <c r="E210" s="506" t="s">
        <v>520</v>
      </c>
      <c r="F210" s="508" t="s">
        <v>521</v>
      </c>
      <c r="G210" s="506">
        <v>300</v>
      </c>
      <c r="H210" s="506" t="s">
        <v>561</v>
      </c>
      <c r="I210" s="506" t="s">
        <v>519</v>
      </c>
      <c r="J210" s="525">
        <v>540</v>
      </c>
    </row>
    <row r="211" spans="1:10" s="514" customFormat="1" ht="14.25" x14ac:dyDescent="0.2">
      <c r="A211" s="522"/>
      <c r="B211" s="522"/>
      <c r="C211" s="522">
        <v>132</v>
      </c>
      <c r="D211" s="522"/>
      <c r="E211" s="522"/>
      <c r="F211" s="522"/>
      <c r="G211" s="522">
        <v>300</v>
      </c>
      <c r="H211" s="522"/>
      <c r="I211" s="522"/>
      <c r="J211" s="531">
        <v>0</v>
      </c>
    </row>
    <row r="212" spans="1:10" ht="14.25" x14ac:dyDescent="0.2">
      <c r="A212" s="506"/>
      <c r="B212" s="520"/>
      <c r="C212" s="506">
        <v>132</v>
      </c>
      <c r="D212" s="506"/>
      <c r="E212" s="506" t="s">
        <v>516</v>
      </c>
      <c r="F212" s="506"/>
      <c r="G212" s="506">
        <v>260</v>
      </c>
      <c r="H212" s="506" t="s">
        <v>560</v>
      </c>
      <c r="I212" s="506" t="s">
        <v>519</v>
      </c>
      <c r="J212" s="525">
        <v>-106</v>
      </c>
    </row>
    <row r="213" spans="1:10" ht="14.25" x14ac:dyDescent="0.2">
      <c r="A213" s="506"/>
      <c r="B213" s="520"/>
      <c r="C213" s="506"/>
      <c r="D213" s="506"/>
      <c r="E213" s="506" t="s">
        <v>520</v>
      </c>
      <c r="F213" s="506"/>
      <c r="G213" s="506">
        <v>260</v>
      </c>
      <c r="H213" s="506" t="s">
        <v>561</v>
      </c>
      <c r="I213" s="506" t="s">
        <v>519</v>
      </c>
      <c r="J213" s="525">
        <v>106</v>
      </c>
    </row>
    <row r="214" spans="1:10" s="514" customFormat="1" ht="15" thickBot="1" x14ac:dyDescent="0.25">
      <c r="A214" s="532" t="s">
        <v>562</v>
      </c>
      <c r="B214" s="522"/>
      <c r="C214" s="522">
        <v>132</v>
      </c>
      <c r="D214" s="522"/>
      <c r="E214" s="522"/>
      <c r="F214" s="522"/>
      <c r="G214" s="522">
        <v>260</v>
      </c>
      <c r="H214" s="522"/>
      <c r="I214" s="522"/>
      <c r="J214" s="531">
        <v>0</v>
      </c>
    </row>
    <row r="215" spans="1:10" ht="13.5" thickTop="1" x14ac:dyDescent="0.2">
      <c r="A215" s="533"/>
      <c r="B215" s="533"/>
      <c r="C215" s="533"/>
      <c r="D215" s="533"/>
      <c r="E215" s="533"/>
      <c r="F215" s="533"/>
      <c r="G215" s="533"/>
      <c r="H215" s="533"/>
      <c r="I215" s="533"/>
      <c r="J215" s="533"/>
    </row>
    <row r="216" spans="1:10" ht="14.25" x14ac:dyDescent="0.2">
      <c r="A216" s="506">
        <v>172</v>
      </c>
      <c r="B216" s="520">
        <v>41781</v>
      </c>
      <c r="C216" s="506">
        <v>132</v>
      </c>
      <c r="D216" s="506" t="s">
        <v>563</v>
      </c>
      <c r="E216" s="506" t="s">
        <v>564</v>
      </c>
      <c r="F216" s="508" t="s">
        <v>517</v>
      </c>
      <c r="G216" s="506">
        <v>43</v>
      </c>
      <c r="H216" s="506" t="s">
        <v>565</v>
      </c>
      <c r="I216" s="506" t="s">
        <v>566</v>
      </c>
      <c r="J216" s="534">
        <v>850000</v>
      </c>
    </row>
    <row r="217" spans="1:10" ht="14.25" x14ac:dyDescent="0.2">
      <c r="A217" s="508"/>
      <c r="B217" s="507"/>
      <c r="C217" s="508"/>
      <c r="D217" s="508"/>
      <c r="E217" s="508"/>
      <c r="F217" s="508" t="s">
        <v>521</v>
      </c>
      <c r="G217" s="506"/>
      <c r="H217" s="506" t="s">
        <v>567</v>
      </c>
      <c r="I217" s="506" t="s">
        <v>566</v>
      </c>
      <c r="J217" s="534">
        <v>1117040</v>
      </c>
    </row>
    <row r="218" spans="1:10" ht="14.25" x14ac:dyDescent="0.2">
      <c r="A218" s="508"/>
      <c r="B218" s="507"/>
      <c r="C218" s="508"/>
      <c r="D218" s="508"/>
      <c r="E218" s="508"/>
      <c r="F218" s="508"/>
      <c r="G218" s="506"/>
      <c r="H218" s="506" t="s">
        <v>567</v>
      </c>
      <c r="I218" s="506" t="s">
        <v>568</v>
      </c>
      <c r="J218" s="534">
        <v>1507507</v>
      </c>
    </row>
    <row r="219" spans="1:10" ht="14.25" x14ac:dyDescent="0.2">
      <c r="A219" s="508"/>
      <c r="B219" s="507"/>
      <c r="C219" s="508"/>
      <c r="D219" s="508"/>
      <c r="E219" s="508"/>
      <c r="F219" s="508"/>
      <c r="G219" s="506"/>
      <c r="H219" s="506" t="s">
        <v>569</v>
      </c>
      <c r="I219" s="506" t="s">
        <v>519</v>
      </c>
      <c r="J219" s="534">
        <v>1250</v>
      </c>
    </row>
    <row r="220" spans="1:10" ht="14.25" x14ac:dyDescent="0.2">
      <c r="A220" s="508"/>
      <c r="B220" s="507"/>
      <c r="C220" s="508"/>
      <c r="D220" s="508"/>
      <c r="E220" s="508"/>
      <c r="F220" s="508"/>
      <c r="G220" s="506"/>
      <c r="H220" s="506" t="s">
        <v>560</v>
      </c>
      <c r="I220" s="506" t="s">
        <v>519</v>
      </c>
      <c r="J220" s="534">
        <v>402371</v>
      </c>
    </row>
    <row r="221" spans="1:10" ht="14.25" x14ac:dyDescent="0.2">
      <c r="A221" s="508"/>
      <c r="B221" s="507"/>
      <c r="C221" s="508"/>
      <c r="D221" s="508"/>
      <c r="E221" s="508"/>
      <c r="F221" s="508"/>
      <c r="G221" s="506"/>
      <c r="H221" s="506" t="s">
        <v>561</v>
      </c>
      <c r="I221" s="506" t="s">
        <v>519</v>
      </c>
      <c r="J221" s="534">
        <v>10000</v>
      </c>
    </row>
    <row r="222" spans="1:10" ht="14.25" x14ac:dyDescent="0.2">
      <c r="A222" s="508"/>
      <c r="B222" s="507"/>
      <c r="C222" s="508"/>
      <c r="D222" s="508"/>
      <c r="E222" s="508"/>
      <c r="F222" s="508"/>
      <c r="G222" s="506"/>
      <c r="H222" s="506" t="s">
        <v>570</v>
      </c>
      <c r="I222" s="506" t="s">
        <v>519</v>
      </c>
      <c r="J222" s="534">
        <v>4000</v>
      </c>
    </row>
    <row r="223" spans="1:10" ht="14.25" x14ac:dyDescent="0.2">
      <c r="A223" s="508"/>
      <c r="B223" s="507"/>
      <c r="C223" s="508"/>
      <c r="D223" s="508"/>
      <c r="E223" s="508"/>
      <c r="F223" s="508"/>
      <c r="G223" s="506"/>
      <c r="H223" s="506" t="s">
        <v>571</v>
      </c>
      <c r="I223" s="506" t="s">
        <v>519</v>
      </c>
      <c r="J223" s="534">
        <v>-20683</v>
      </c>
    </row>
    <row r="224" spans="1:10" ht="14.25" x14ac:dyDescent="0.2">
      <c r="A224" s="508"/>
      <c r="B224" s="507"/>
      <c r="C224" s="508"/>
      <c r="D224" s="508"/>
      <c r="E224" s="508"/>
      <c r="F224" s="508"/>
      <c r="G224" s="506"/>
      <c r="H224" s="506" t="s">
        <v>572</v>
      </c>
      <c r="I224" s="506" t="s">
        <v>519</v>
      </c>
      <c r="J224" s="534">
        <v>408250</v>
      </c>
    </row>
    <row r="225" spans="1:10" ht="14.25" x14ac:dyDescent="0.2">
      <c r="A225" s="508"/>
      <c r="B225" s="507"/>
      <c r="C225" s="508"/>
      <c r="D225" s="508"/>
      <c r="E225" s="508"/>
      <c r="F225" s="508"/>
      <c r="G225" s="506"/>
      <c r="H225" s="506" t="s">
        <v>573</v>
      </c>
      <c r="I225" s="506" t="s">
        <v>519</v>
      </c>
      <c r="J225" s="534">
        <v>5184589</v>
      </c>
    </row>
    <row r="226" spans="1:10" ht="14.25" x14ac:dyDescent="0.2">
      <c r="A226" s="535"/>
      <c r="B226" s="535"/>
      <c r="C226" s="535">
        <v>132</v>
      </c>
      <c r="D226" s="535"/>
      <c r="E226" s="535"/>
      <c r="F226" s="535"/>
      <c r="G226" s="522"/>
      <c r="H226" s="522"/>
      <c r="I226" s="522"/>
      <c r="J226" s="536">
        <f>SUM(J216:J225)</f>
        <v>9464324</v>
      </c>
    </row>
    <row r="227" spans="1:10" ht="14.25" x14ac:dyDescent="0.2">
      <c r="A227" s="508"/>
      <c r="B227" s="507"/>
      <c r="C227" s="508">
        <v>137</v>
      </c>
      <c r="D227" s="508"/>
      <c r="E227" s="508"/>
      <c r="F227" s="508"/>
      <c r="G227" s="506"/>
      <c r="H227" s="506" t="s">
        <v>571</v>
      </c>
      <c r="I227" s="506" t="s">
        <v>519</v>
      </c>
      <c r="J227" s="534">
        <v>300</v>
      </c>
    </row>
    <row r="228" spans="1:10" s="514" customFormat="1" ht="14.25" x14ac:dyDescent="0.2">
      <c r="A228" s="535"/>
      <c r="B228" s="535"/>
      <c r="C228" s="535">
        <v>137</v>
      </c>
      <c r="D228" s="535"/>
      <c r="E228" s="535"/>
      <c r="F228" s="535"/>
      <c r="G228" s="522"/>
      <c r="H228" s="522"/>
      <c r="I228" s="522"/>
      <c r="J228" s="536">
        <v>300</v>
      </c>
    </row>
    <row r="229" spans="1:10" ht="14.25" x14ac:dyDescent="0.2">
      <c r="A229" s="508"/>
      <c r="B229" s="507"/>
      <c r="C229" s="508">
        <v>136</v>
      </c>
      <c r="D229" s="508"/>
      <c r="E229" s="508"/>
      <c r="F229" s="508"/>
      <c r="G229" s="506"/>
      <c r="H229" s="506" t="s">
        <v>571</v>
      </c>
      <c r="I229" s="506" t="s">
        <v>519</v>
      </c>
      <c r="J229" s="534">
        <v>300</v>
      </c>
    </row>
    <row r="230" spans="1:10" s="514" customFormat="1" ht="14.25" x14ac:dyDescent="0.2">
      <c r="A230" s="535"/>
      <c r="B230" s="535"/>
      <c r="C230" s="535">
        <v>136</v>
      </c>
      <c r="D230" s="535"/>
      <c r="E230" s="535"/>
      <c r="F230" s="535"/>
      <c r="G230" s="522"/>
      <c r="H230" s="522"/>
      <c r="I230" s="522"/>
      <c r="J230" s="536">
        <v>300</v>
      </c>
    </row>
    <row r="231" spans="1:10" s="539" customFormat="1" ht="15" x14ac:dyDescent="0.25">
      <c r="A231" s="508"/>
      <c r="B231" s="508"/>
      <c r="C231" s="508"/>
      <c r="D231" s="508"/>
      <c r="E231" s="537" t="s">
        <v>564</v>
      </c>
      <c r="F231" s="508"/>
      <c r="G231" s="537">
        <v>43</v>
      </c>
      <c r="H231" s="508"/>
      <c r="I231" s="508"/>
      <c r="J231" s="538">
        <f>SUM(J226+J228+J230)</f>
        <v>9464924</v>
      </c>
    </row>
    <row r="232" spans="1:10" ht="14.25" x14ac:dyDescent="0.2">
      <c r="A232" s="506"/>
      <c r="B232" s="520"/>
      <c r="C232" s="506">
        <v>132</v>
      </c>
      <c r="D232" s="506"/>
      <c r="E232" s="506"/>
      <c r="F232" s="506"/>
      <c r="G232" s="506">
        <v>35</v>
      </c>
      <c r="H232" s="506" t="s">
        <v>574</v>
      </c>
      <c r="I232" s="506" t="s">
        <v>575</v>
      </c>
      <c r="J232" s="534">
        <v>10000</v>
      </c>
    </row>
    <row r="233" spans="1:10" ht="14.25" x14ac:dyDescent="0.2">
      <c r="A233" s="506"/>
      <c r="B233" s="520"/>
      <c r="C233" s="506"/>
      <c r="D233" s="506"/>
      <c r="E233" s="506"/>
      <c r="F233" s="506"/>
      <c r="G233" s="506"/>
      <c r="H233" s="506" t="s">
        <v>576</v>
      </c>
      <c r="I233" s="506" t="s">
        <v>577</v>
      </c>
      <c r="J233" s="534">
        <v>52000</v>
      </c>
    </row>
    <row r="234" spans="1:10" ht="14.25" x14ac:dyDescent="0.2">
      <c r="A234" s="506"/>
      <c r="B234" s="520"/>
      <c r="C234" s="506"/>
      <c r="D234" s="506"/>
      <c r="E234" s="506"/>
      <c r="F234" s="506"/>
      <c r="G234" s="506"/>
      <c r="H234" s="506" t="s">
        <v>578</v>
      </c>
      <c r="I234" s="506" t="s">
        <v>579</v>
      </c>
      <c r="J234" s="534">
        <v>148000</v>
      </c>
    </row>
    <row r="235" spans="1:10" ht="14.25" x14ac:dyDescent="0.2">
      <c r="A235" s="506"/>
      <c r="B235" s="520"/>
      <c r="C235" s="506"/>
      <c r="D235" s="506"/>
      <c r="E235" s="506"/>
      <c r="F235" s="506"/>
      <c r="G235" s="506"/>
      <c r="H235" s="506" t="s">
        <v>580</v>
      </c>
      <c r="I235" s="506" t="s">
        <v>581</v>
      </c>
      <c r="J235" s="534">
        <v>450</v>
      </c>
    </row>
    <row r="236" spans="1:10" ht="14.25" x14ac:dyDescent="0.2">
      <c r="A236" s="506"/>
      <c r="B236" s="520"/>
      <c r="C236" s="506"/>
      <c r="D236" s="506"/>
      <c r="E236" s="506"/>
      <c r="F236" s="506"/>
      <c r="G236" s="506"/>
      <c r="H236" s="506" t="s">
        <v>580</v>
      </c>
      <c r="I236" s="506" t="s">
        <v>582</v>
      </c>
      <c r="J236" s="534">
        <v>500</v>
      </c>
    </row>
    <row r="237" spans="1:10" ht="14.25" x14ac:dyDescent="0.2">
      <c r="A237" s="506"/>
      <c r="B237" s="520"/>
      <c r="C237" s="506"/>
      <c r="D237" s="506"/>
      <c r="E237" s="506"/>
      <c r="F237" s="506"/>
      <c r="G237" s="506"/>
      <c r="H237" s="506" t="s">
        <v>580</v>
      </c>
      <c r="I237" s="506" t="s">
        <v>583</v>
      </c>
      <c r="J237" s="534">
        <v>300</v>
      </c>
    </row>
    <row r="238" spans="1:10" ht="14.25" x14ac:dyDescent="0.2">
      <c r="A238" s="506"/>
      <c r="B238" s="520"/>
      <c r="C238" s="506"/>
      <c r="D238" s="506"/>
      <c r="E238" s="506"/>
      <c r="F238" s="506"/>
      <c r="G238" s="506"/>
      <c r="H238" s="506" t="s">
        <v>584</v>
      </c>
      <c r="I238" s="506" t="s">
        <v>585</v>
      </c>
      <c r="J238" s="534">
        <v>19920</v>
      </c>
    </row>
    <row r="239" spans="1:10" ht="14.25" x14ac:dyDescent="0.2">
      <c r="A239" s="506"/>
      <c r="B239" s="520"/>
      <c r="C239" s="506"/>
      <c r="D239" s="506"/>
      <c r="E239" s="506"/>
      <c r="F239" s="506"/>
      <c r="G239" s="506"/>
      <c r="H239" s="506" t="s">
        <v>584</v>
      </c>
      <c r="I239" s="506" t="s">
        <v>586</v>
      </c>
      <c r="J239" s="534">
        <v>40000</v>
      </c>
    </row>
    <row r="240" spans="1:10" ht="14.25" x14ac:dyDescent="0.2">
      <c r="A240" s="506"/>
      <c r="B240" s="520"/>
      <c r="C240" s="506"/>
      <c r="D240" s="506"/>
      <c r="E240" s="506"/>
      <c r="F240" s="506"/>
      <c r="G240" s="506"/>
      <c r="H240" s="506" t="s">
        <v>584</v>
      </c>
      <c r="I240" s="506" t="s">
        <v>587</v>
      </c>
      <c r="J240" s="534">
        <v>25000</v>
      </c>
    </row>
    <row r="241" spans="1:10" ht="14.25" x14ac:dyDescent="0.2">
      <c r="A241" s="506"/>
      <c r="B241" s="520"/>
      <c r="C241" s="506"/>
      <c r="D241" s="506"/>
      <c r="E241" s="506"/>
      <c r="F241" s="506"/>
      <c r="G241" s="506"/>
      <c r="H241" s="506" t="s">
        <v>584</v>
      </c>
      <c r="I241" s="506" t="s">
        <v>588</v>
      </c>
      <c r="J241" s="534">
        <v>163000</v>
      </c>
    </row>
    <row r="242" spans="1:10" ht="14.25" x14ac:dyDescent="0.2">
      <c r="A242" s="506"/>
      <c r="B242" s="520"/>
      <c r="C242" s="506"/>
      <c r="D242" s="506"/>
      <c r="E242" s="506"/>
      <c r="F242" s="506"/>
      <c r="G242" s="506"/>
      <c r="H242" s="506" t="s">
        <v>584</v>
      </c>
      <c r="I242" s="506" t="s">
        <v>589</v>
      </c>
      <c r="J242" s="534">
        <v>1730</v>
      </c>
    </row>
    <row r="243" spans="1:10" ht="14.25" x14ac:dyDescent="0.2">
      <c r="A243" s="506"/>
      <c r="B243" s="520"/>
      <c r="C243" s="506"/>
      <c r="D243" s="506"/>
      <c r="E243" s="506"/>
      <c r="F243" s="506"/>
      <c r="G243" s="506"/>
      <c r="H243" s="506" t="s">
        <v>584</v>
      </c>
      <c r="I243" s="506" t="s">
        <v>590</v>
      </c>
      <c r="J243" s="534">
        <v>28000</v>
      </c>
    </row>
    <row r="244" spans="1:10" ht="14.25" x14ac:dyDescent="0.2">
      <c r="A244" s="506"/>
      <c r="B244" s="520"/>
      <c r="C244" s="506"/>
      <c r="D244" s="506"/>
      <c r="E244" s="506"/>
      <c r="F244" s="506"/>
      <c r="G244" s="506"/>
      <c r="H244" s="506" t="s">
        <v>584</v>
      </c>
      <c r="I244" s="506" t="s">
        <v>591</v>
      </c>
      <c r="J244" s="534">
        <v>-6800</v>
      </c>
    </row>
    <row r="245" spans="1:10" ht="14.25" x14ac:dyDescent="0.2">
      <c r="A245" s="506"/>
      <c r="B245" s="520"/>
      <c r="C245" s="506"/>
      <c r="D245" s="506"/>
      <c r="E245" s="506"/>
      <c r="F245" s="506"/>
      <c r="G245" s="506"/>
      <c r="H245" s="506" t="s">
        <v>592</v>
      </c>
      <c r="I245" s="506" t="s">
        <v>593</v>
      </c>
      <c r="J245" s="534">
        <v>150000</v>
      </c>
    </row>
    <row r="246" spans="1:10" ht="14.25" x14ac:dyDescent="0.2">
      <c r="A246" s="506"/>
      <c r="B246" s="520"/>
      <c r="C246" s="506"/>
      <c r="D246" s="506"/>
      <c r="E246" s="506"/>
      <c r="F246" s="506"/>
      <c r="G246" s="506"/>
      <c r="H246" s="506" t="s">
        <v>592</v>
      </c>
      <c r="I246" s="506" t="s">
        <v>594</v>
      </c>
      <c r="J246" s="534">
        <v>8000</v>
      </c>
    </row>
    <row r="247" spans="1:10" ht="14.25" x14ac:dyDescent="0.2">
      <c r="A247" s="506"/>
      <c r="B247" s="520"/>
      <c r="C247" s="506"/>
      <c r="D247" s="506"/>
      <c r="E247" s="506"/>
      <c r="F247" s="506"/>
      <c r="G247" s="506"/>
      <c r="H247" s="506" t="s">
        <v>595</v>
      </c>
      <c r="I247" s="506" t="s">
        <v>519</v>
      </c>
      <c r="J247" s="534">
        <v>184789</v>
      </c>
    </row>
    <row r="248" spans="1:10" ht="14.25" x14ac:dyDescent="0.2">
      <c r="A248" s="506"/>
      <c r="B248" s="520"/>
      <c r="C248" s="506"/>
      <c r="D248" s="506"/>
      <c r="E248" s="506"/>
      <c r="F248" s="506"/>
      <c r="G248" s="506"/>
      <c r="H248" s="506" t="s">
        <v>555</v>
      </c>
      <c r="I248" s="506" t="s">
        <v>519</v>
      </c>
      <c r="J248" s="534">
        <v>49750</v>
      </c>
    </row>
    <row r="249" spans="1:10" ht="14.25" x14ac:dyDescent="0.2">
      <c r="A249" s="506"/>
      <c r="B249" s="520"/>
      <c r="C249" s="506"/>
      <c r="D249" s="506"/>
      <c r="E249" s="506"/>
      <c r="F249" s="506"/>
      <c r="G249" s="506"/>
      <c r="H249" s="506" t="s">
        <v>526</v>
      </c>
      <c r="I249" s="506" t="s">
        <v>519</v>
      </c>
      <c r="J249" s="534">
        <v>30311</v>
      </c>
    </row>
    <row r="250" spans="1:10" ht="14.25" x14ac:dyDescent="0.2">
      <c r="A250" s="506"/>
      <c r="B250" s="520"/>
      <c r="C250" s="506"/>
      <c r="D250" s="506"/>
      <c r="E250" s="506"/>
      <c r="F250" s="506"/>
      <c r="G250" s="506"/>
      <c r="H250" s="506" t="s">
        <v>596</v>
      </c>
      <c r="I250" s="506" t="s">
        <v>519</v>
      </c>
      <c r="J250" s="534">
        <v>1300</v>
      </c>
    </row>
    <row r="251" spans="1:10" ht="14.25" x14ac:dyDescent="0.2">
      <c r="A251" s="506"/>
      <c r="B251" s="520"/>
      <c r="C251" s="506"/>
      <c r="D251" s="506"/>
      <c r="E251" s="506"/>
      <c r="F251" s="506"/>
      <c r="G251" s="506"/>
      <c r="H251" s="506" t="s">
        <v>597</v>
      </c>
      <c r="I251" s="506" t="s">
        <v>519</v>
      </c>
      <c r="J251" s="534">
        <v>7000</v>
      </c>
    </row>
    <row r="252" spans="1:10" ht="14.25" x14ac:dyDescent="0.2">
      <c r="A252" s="506"/>
      <c r="B252" s="520"/>
      <c r="C252" s="506"/>
      <c r="D252" s="506"/>
      <c r="E252" s="506"/>
      <c r="F252" s="506"/>
      <c r="G252" s="506"/>
      <c r="H252" s="506" t="s">
        <v>557</v>
      </c>
      <c r="I252" s="506" t="s">
        <v>519</v>
      </c>
      <c r="J252" s="534">
        <v>3000</v>
      </c>
    </row>
    <row r="253" spans="1:10" ht="14.25" x14ac:dyDescent="0.2">
      <c r="A253" s="506"/>
      <c r="B253" s="520"/>
      <c r="C253" s="506"/>
      <c r="D253" s="506"/>
      <c r="E253" s="506"/>
      <c r="F253" s="506"/>
      <c r="G253" s="506"/>
      <c r="H253" s="506" t="s">
        <v>525</v>
      </c>
      <c r="I253" s="506" t="s">
        <v>519</v>
      </c>
      <c r="J253" s="534">
        <v>41990</v>
      </c>
    </row>
    <row r="254" spans="1:10" ht="14.25" x14ac:dyDescent="0.2">
      <c r="A254" s="506"/>
      <c r="B254" s="520"/>
      <c r="C254" s="506"/>
      <c r="D254" s="506"/>
      <c r="E254" s="506"/>
      <c r="F254" s="506"/>
      <c r="G254" s="506"/>
      <c r="H254" s="506" t="s">
        <v>518</v>
      </c>
      <c r="I254" s="506" t="s">
        <v>519</v>
      </c>
      <c r="J254" s="534">
        <v>37000</v>
      </c>
    </row>
    <row r="255" spans="1:10" ht="14.25" x14ac:dyDescent="0.2">
      <c r="A255" s="506"/>
      <c r="B255" s="520"/>
      <c r="C255" s="506"/>
      <c r="D255" s="506"/>
      <c r="E255" s="506"/>
      <c r="F255" s="506"/>
      <c r="G255" s="506"/>
      <c r="H255" s="506" t="s">
        <v>598</v>
      </c>
      <c r="I255" s="506" t="s">
        <v>519</v>
      </c>
      <c r="J255" s="534">
        <v>25000</v>
      </c>
    </row>
    <row r="256" spans="1:10" ht="14.25" x14ac:dyDescent="0.2">
      <c r="A256" s="506"/>
      <c r="B256" s="520"/>
      <c r="C256" s="506"/>
      <c r="D256" s="506"/>
      <c r="E256" s="506"/>
      <c r="F256" s="506"/>
      <c r="G256" s="506"/>
      <c r="H256" s="506" t="s">
        <v>599</v>
      </c>
      <c r="I256" s="506" t="s">
        <v>519</v>
      </c>
      <c r="J256" s="534">
        <v>10000</v>
      </c>
    </row>
    <row r="257" spans="1:10" ht="14.25" x14ac:dyDescent="0.2">
      <c r="A257" s="506"/>
      <c r="B257" s="520"/>
      <c r="C257" s="506"/>
      <c r="D257" s="506"/>
      <c r="E257" s="506"/>
      <c r="F257" s="506"/>
      <c r="G257" s="506"/>
      <c r="H257" s="506" t="s">
        <v>600</v>
      </c>
      <c r="I257" s="506" t="s">
        <v>519</v>
      </c>
      <c r="J257" s="534">
        <v>2000</v>
      </c>
    </row>
    <row r="258" spans="1:10" ht="14.25" x14ac:dyDescent="0.2">
      <c r="A258" s="506"/>
      <c r="B258" s="520"/>
      <c r="C258" s="506"/>
      <c r="D258" s="506"/>
      <c r="E258" s="506"/>
      <c r="F258" s="506"/>
      <c r="G258" s="506"/>
      <c r="H258" s="506" t="s">
        <v>601</v>
      </c>
      <c r="I258" s="506" t="s">
        <v>519</v>
      </c>
      <c r="J258" s="534">
        <v>20000</v>
      </c>
    </row>
    <row r="259" spans="1:10" ht="14.25" x14ac:dyDescent="0.2">
      <c r="A259" s="506"/>
      <c r="B259" s="520"/>
      <c r="C259" s="506"/>
      <c r="D259" s="506"/>
      <c r="E259" s="506"/>
      <c r="F259" s="506"/>
      <c r="G259" s="506"/>
      <c r="H259" s="506" t="s">
        <v>602</v>
      </c>
      <c r="I259" s="506" t="s">
        <v>519</v>
      </c>
      <c r="J259" s="534">
        <v>200</v>
      </c>
    </row>
    <row r="260" spans="1:10" ht="14.25" x14ac:dyDescent="0.2">
      <c r="A260" s="506"/>
      <c r="B260" s="520"/>
      <c r="C260" s="506"/>
      <c r="D260" s="506"/>
      <c r="E260" s="506"/>
      <c r="F260" s="506"/>
      <c r="G260" s="506"/>
      <c r="H260" s="506" t="s">
        <v>603</v>
      </c>
      <c r="I260" s="506" t="s">
        <v>519</v>
      </c>
      <c r="J260" s="534">
        <v>274990</v>
      </c>
    </row>
    <row r="261" spans="1:10" ht="14.25" x14ac:dyDescent="0.2">
      <c r="A261" s="506"/>
      <c r="B261" s="520"/>
      <c r="C261" s="506"/>
      <c r="D261" s="506"/>
      <c r="E261" s="506"/>
      <c r="F261" s="506"/>
      <c r="G261" s="506"/>
      <c r="H261" s="506" t="s">
        <v>522</v>
      </c>
      <c r="I261" s="506" t="s">
        <v>519</v>
      </c>
      <c r="J261" s="534">
        <v>184170</v>
      </c>
    </row>
    <row r="262" spans="1:10" ht="14.25" x14ac:dyDescent="0.2">
      <c r="A262" s="506"/>
      <c r="B262" s="520"/>
      <c r="C262" s="506"/>
      <c r="D262" s="506"/>
      <c r="E262" s="506"/>
      <c r="F262" s="506"/>
      <c r="G262" s="506"/>
      <c r="H262" s="506" t="s">
        <v>604</v>
      </c>
      <c r="I262" s="506" t="s">
        <v>519</v>
      </c>
      <c r="J262" s="534">
        <v>79108</v>
      </c>
    </row>
    <row r="263" spans="1:10" ht="14.25" x14ac:dyDescent="0.2">
      <c r="A263" s="506"/>
      <c r="B263" s="520"/>
      <c r="C263" s="506"/>
      <c r="D263" s="506"/>
      <c r="E263" s="506"/>
      <c r="F263" s="506"/>
      <c r="G263" s="506"/>
      <c r="H263" s="506" t="s">
        <v>605</v>
      </c>
      <c r="I263" s="506" t="s">
        <v>519</v>
      </c>
      <c r="J263" s="534">
        <v>100529</v>
      </c>
    </row>
    <row r="264" spans="1:10" ht="14.25" x14ac:dyDescent="0.2">
      <c r="A264" s="506"/>
      <c r="B264" s="520"/>
      <c r="C264" s="506"/>
      <c r="D264" s="506"/>
      <c r="E264" s="506"/>
      <c r="F264" s="506"/>
      <c r="G264" s="506"/>
      <c r="H264" s="506" t="s">
        <v>527</v>
      </c>
      <c r="I264" s="506" t="s">
        <v>519</v>
      </c>
      <c r="J264" s="534">
        <v>22000</v>
      </c>
    </row>
    <row r="265" spans="1:10" ht="14.25" x14ac:dyDescent="0.2">
      <c r="A265" s="506"/>
      <c r="B265" s="520"/>
      <c r="C265" s="506"/>
      <c r="D265" s="506"/>
      <c r="E265" s="506"/>
      <c r="F265" s="506"/>
      <c r="G265" s="506"/>
      <c r="H265" s="506" t="s">
        <v>606</v>
      </c>
      <c r="I265" s="506" t="s">
        <v>519</v>
      </c>
      <c r="J265" s="534">
        <v>840</v>
      </c>
    </row>
    <row r="266" spans="1:10" ht="14.25" x14ac:dyDescent="0.2">
      <c r="A266" s="506"/>
      <c r="B266" s="520"/>
      <c r="C266" s="506"/>
      <c r="D266" s="506"/>
      <c r="E266" s="506"/>
      <c r="F266" s="506"/>
      <c r="G266" s="506"/>
      <c r="H266" s="506" t="s">
        <v>523</v>
      </c>
      <c r="I266" s="506" t="s">
        <v>519</v>
      </c>
      <c r="J266" s="534">
        <v>15000</v>
      </c>
    </row>
    <row r="267" spans="1:10" ht="14.25" x14ac:dyDescent="0.2">
      <c r="A267" s="506"/>
      <c r="B267" s="520"/>
      <c r="C267" s="506"/>
      <c r="D267" s="506"/>
      <c r="E267" s="506"/>
      <c r="F267" s="506"/>
      <c r="G267" s="506"/>
      <c r="H267" s="506" t="s">
        <v>607</v>
      </c>
      <c r="I267" s="506" t="s">
        <v>519</v>
      </c>
      <c r="J267" s="534">
        <v>2800</v>
      </c>
    </row>
    <row r="268" spans="1:10" ht="14.25" x14ac:dyDescent="0.2">
      <c r="A268" s="506"/>
      <c r="B268" s="520"/>
      <c r="C268" s="506"/>
      <c r="D268" s="506"/>
      <c r="E268" s="506"/>
      <c r="F268" s="506"/>
      <c r="G268" s="506"/>
      <c r="H268" s="506" t="s">
        <v>608</v>
      </c>
      <c r="I268" s="506" t="s">
        <v>519</v>
      </c>
      <c r="J268" s="534">
        <v>400</v>
      </c>
    </row>
    <row r="269" spans="1:10" s="514" customFormat="1" ht="14.25" x14ac:dyDescent="0.2">
      <c r="A269" s="522"/>
      <c r="B269" s="522"/>
      <c r="C269" s="522">
        <v>132</v>
      </c>
      <c r="D269" s="522"/>
      <c r="E269" s="522"/>
      <c r="F269" s="522"/>
      <c r="G269" s="522">
        <v>35</v>
      </c>
      <c r="H269" s="522"/>
      <c r="I269" s="522"/>
      <c r="J269" s="536">
        <f>SUM(J232:J268)</f>
        <v>1732277</v>
      </c>
    </row>
    <row r="270" spans="1:10" ht="14.25" x14ac:dyDescent="0.2">
      <c r="A270" s="506"/>
      <c r="B270" s="520"/>
      <c r="C270" s="506">
        <v>137</v>
      </c>
      <c r="D270" s="506"/>
      <c r="E270" s="506" t="s">
        <v>520</v>
      </c>
      <c r="F270" s="506"/>
      <c r="G270" s="506">
        <v>35</v>
      </c>
      <c r="H270" s="506" t="s">
        <v>597</v>
      </c>
      <c r="I270" s="506" t="s">
        <v>519</v>
      </c>
      <c r="J270" s="534">
        <v>1574</v>
      </c>
    </row>
    <row r="271" spans="1:10" ht="14.25" x14ac:dyDescent="0.2">
      <c r="A271" s="506"/>
      <c r="B271" s="520"/>
      <c r="C271" s="506"/>
      <c r="D271" s="506"/>
      <c r="E271" s="506" t="s">
        <v>520</v>
      </c>
      <c r="F271" s="506"/>
      <c r="G271" s="506">
        <v>35</v>
      </c>
      <c r="H271" s="506" t="s">
        <v>557</v>
      </c>
      <c r="I271" s="506" t="s">
        <v>519</v>
      </c>
      <c r="J271" s="534">
        <v>426</v>
      </c>
    </row>
    <row r="272" spans="1:10" ht="14.25" x14ac:dyDescent="0.2">
      <c r="A272" s="506"/>
      <c r="B272" s="520"/>
      <c r="C272" s="506"/>
      <c r="D272" s="506"/>
      <c r="E272" s="506" t="s">
        <v>516</v>
      </c>
      <c r="F272" s="506"/>
      <c r="G272" s="506">
        <v>35</v>
      </c>
      <c r="H272" s="506" t="s">
        <v>609</v>
      </c>
      <c r="I272" s="506" t="s">
        <v>519</v>
      </c>
      <c r="J272" s="534">
        <v>-2000</v>
      </c>
    </row>
    <row r="273" spans="1:10" s="514" customFormat="1" ht="14.25" x14ac:dyDescent="0.2">
      <c r="A273" s="522"/>
      <c r="B273" s="522"/>
      <c r="C273" s="522">
        <v>137</v>
      </c>
      <c r="D273" s="522"/>
      <c r="E273" s="522"/>
      <c r="F273" s="522"/>
      <c r="G273" s="522">
        <v>35</v>
      </c>
      <c r="H273" s="522"/>
      <c r="I273" s="522"/>
      <c r="J273" s="536">
        <v>0</v>
      </c>
    </row>
    <row r="274" spans="1:10" ht="14.25" x14ac:dyDescent="0.2">
      <c r="A274" s="506"/>
      <c r="B274" s="520"/>
      <c r="C274" s="506">
        <v>136</v>
      </c>
      <c r="D274" s="506"/>
      <c r="E274" s="506" t="s">
        <v>520</v>
      </c>
      <c r="F274" s="506"/>
      <c r="G274" s="506">
        <v>35</v>
      </c>
      <c r="H274" s="506" t="s">
        <v>557</v>
      </c>
      <c r="I274" s="506" t="s">
        <v>519</v>
      </c>
      <c r="J274" s="534">
        <v>400</v>
      </c>
    </row>
    <row r="275" spans="1:10" ht="14.25" x14ac:dyDescent="0.2">
      <c r="A275" s="506"/>
      <c r="B275" s="520"/>
      <c r="C275" s="506"/>
      <c r="D275" s="506"/>
      <c r="E275" s="506" t="s">
        <v>516</v>
      </c>
      <c r="F275" s="506"/>
      <c r="G275" s="506">
        <v>35</v>
      </c>
      <c r="H275" s="506" t="s">
        <v>610</v>
      </c>
      <c r="I275" s="506" t="s">
        <v>519</v>
      </c>
      <c r="J275" s="534">
        <v>-100</v>
      </c>
    </row>
    <row r="276" spans="1:10" ht="14.25" x14ac:dyDescent="0.2">
      <c r="A276" s="506"/>
      <c r="B276" s="520"/>
      <c r="C276" s="506"/>
      <c r="D276" s="506"/>
      <c r="E276" s="506" t="s">
        <v>564</v>
      </c>
      <c r="F276" s="506"/>
      <c r="G276" s="506">
        <v>35</v>
      </c>
      <c r="H276" s="506" t="s">
        <v>518</v>
      </c>
      <c r="I276" s="506" t="s">
        <v>519</v>
      </c>
      <c r="J276" s="534">
        <v>2000</v>
      </c>
    </row>
    <row r="277" spans="1:10" ht="14.25" x14ac:dyDescent="0.2">
      <c r="A277" s="506"/>
      <c r="B277" s="520"/>
      <c r="C277" s="506"/>
      <c r="D277" s="506"/>
      <c r="E277" s="506" t="s">
        <v>516</v>
      </c>
      <c r="F277" s="506"/>
      <c r="G277" s="506">
        <v>35</v>
      </c>
      <c r="H277" s="506" t="s">
        <v>611</v>
      </c>
      <c r="I277" s="506" t="s">
        <v>519</v>
      </c>
      <c r="J277" s="534">
        <v>-300</v>
      </c>
    </row>
    <row r="278" spans="1:10" s="514" customFormat="1" ht="14.25" x14ac:dyDescent="0.2">
      <c r="A278" s="522"/>
      <c r="B278" s="522"/>
      <c r="C278" s="522">
        <v>136</v>
      </c>
      <c r="D278" s="522"/>
      <c r="E278" s="522"/>
      <c r="F278" s="522"/>
      <c r="G278" s="522">
        <v>35</v>
      </c>
      <c r="H278" s="522"/>
      <c r="I278" s="522"/>
      <c r="J278" s="536">
        <v>2000</v>
      </c>
    </row>
    <row r="279" spans="1:10" ht="15" x14ac:dyDescent="0.25">
      <c r="A279" s="519"/>
      <c r="B279" s="519"/>
      <c r="C279" s="519"/>
      <c r="D279" s="519"/>
      <c r="E279" s="537" t="s">
        <v>564</v>
      </c>
      <c r="F279" s="519"/>
      <c r="G279" s="537">
        <v>35</v>
      </c>
      <c r="H279" s="540"/>
      <c r="I279" s="540"/>
      <c r="J279" s="538">
        <f>SUM(J269+J273+J278)</f>
        <v>1734277</v>
      </c>
    </row>
    <row r="280" spans="1:10" ht="14.25" x14ac:dyDescent="0.2">
      <c r="A280" s="506"/>
      <c r="B280" s="520"/>
      <c r="C280" s="506">
        <v>132</v>
      </c>
      <c r="D280" s="506"/>
      <c r="E280" s="506"/>
      <c r="F280" s="506"/>
      <c r="G280" s="506">
        <v>31</v>
      </c>
      <c r="H280" s="506" t="s">
        <v>538</v>
      </c>
      <c r="I280" s="506" t="s">
        <v>519</v>
      </c>
      <c r="J280" s="534">
        <v>2676853</v>
      </c>
    </row>
    <row r="281" spans="1:10" ht="14.25" x14ac:dyDescent="0.2">
      <c r="A281" s="506"/>
      <c r="B281" s="520"/>
      <c r="C281" s="506"/>
      <c r="D281" s="506"/>
      <c r="E281" s="506"/>
      <c r="F281" s="506"/>
      <c r="G281" s="506">
        <v>31</v>
      </c>
      <c r="H281" s="506" t="s">
        <v>537</v>
      </c>
      <c r="I281" s="506" t="s">
        <v>519</v>
      </c>
      <c r="J281" s="534">
        <v>1030856</v>
      </c>
    </row>
    <row r="282" spans="1:10" ht="14.25" x14ac:dyDescent="0.2">
      <c r="A282" s="506"/>
      <c r="B282" s="520"/>
      <c r="C282" s="506"/>
      <c r="D282" s="506"/>
      <c r="E282" s="506"/>
      <c r="F282" s="506"/>
      <c r="G282" s="506">
        <v>31</v>
      </c>
      <c r="H282" s="506" t="s">
        <v>612</v>
      </c>
      <c r="I282" s="506" t="s">
        <v>519</v>
      </c>
      <c r="J282" s="534">
        <v>300000</v>
      </c>
    </row>
    <row r="283" spans="1:10" ht="14.25" x14ac:dyDescent="0.2">
      <c r="A283" s="506"/>
      <c r="B283" s="520"/>
      <c r="C283" s="506"/>
      <c r="D283" s="506"/>
      <c r="E283" s="506"/>
      <c r="F283" s="506"/>
      <c r="G283" s="506">
        <v>31</v>
      </c>
      <c r="H283" s="506" t="s">
        <v>529</v>
      </c>
      <c r="I283" s="506" t="s">
        <v>519</v>
      </c>
      <c r="J283" s="534">
        <v>2100000</v>
      </c>
    </row>
    <row r="284" spans="1:10" ht="14.25" x14ac:dyDescent="0.2">
      <c r="A284" s="506"/>
      <c r="B284" s="520"/>
      <c r="C284" s="506"/>
      <c r="D284" s="506"/>
      <c r="E284" s="506"/>
      <c r="F284" s="506"/>
      <c r="G284" s="506">
        <v>31</v>
      </c>
      <c r="H284" s="506" t="s">
        <v>613</v>
      </c>
      <c r="I284" s="506" t="s">
        <v>519</v>
      </c>
      <c r="J284" s="534">
        <v>130000</v>
      </c>
    </row>
    <row r="285" spans="1:10" ht="14.25" x14ac:dyDescent="0.2">
      <c r="A285" s="506"/>
      <c r="B285" s="520"/>
      <c r="C285" s="506"/>
      <c r="D285" s="506"/>
      <c r="E285" s="506"/>
      <c r="F285" s="506"/>
      <c r="G285" s="506">
        <v>31</v>
      </c>
      <c r="H285" s="506" t="s">
        <v>614</v>
      </c>
      <c r="I285" s="506" t="s">
        <v>519</v>
      </c>
      <c r="J285" s="534">
        <v>15000</v>
      </c>
    </row>
    <row r="286" spans="1:10" ht="14.25" x14ac:dyDescent="0.2">
      <c r="A286" s="506"/>
      <c r="B286" s="520"/>
      <c r="C286" s="506"/>
      <c r="D286" s="506"/>
      <c r="E286" s="506"/>
      <c r="F286" s="506"/>
      <c r="G286" s="506">
        <v>31</v>
      </c>
      <c r="H286" s="506" t="s">
        <v>532</v>
      </c>
      <c r="I286" s="506" t="s">
        <v>519</v>
      </c>
      <c r="J286" s="534">
        <v>74070</v>
      </c>
    </row>
    <row r="287" spans="1:10" ht="14.25" x14ac:dyDescent="0.2">
      <c r="A287" s="506"/>
      <c r="B287" s="520"/>
      <c r="C287" s="506"/>
      <c r="D287" s="506"/>
      <c r="E287" s="506"/>
      <c r="F287" s="506"/>
      <c r="G287" s="506">
        <v>31</v>
      </c>
      <c r="H287" s="506" t="s">
        <v>615</v>
      </c>
      <c r="I287" s="506" t="s">
        <v>519</v>
      </c>
      <c r="J287" s="534">
        <v>425000</v>
      </c>
    </row>
    <row r="288" spans="1:10" ht="14.25" x14ac:dyDescent="0.2">
      <c r="A288" s="506"/>
      <c r="B288" s="520"/>
      <c r="C288" s="506"/>
      <c r="D288" s="506"/>
      <c r="E288" s="506"/>
      <c r="F288" s="506"/>
      <c r="G288" s="506">
        <v>31</v>
      </c>
      <c r="H288" s="506" t="s">
        <v>616</v>
      </c>
      <c r="I288" s="506" t="s">
        <v>519</v>
      </c>
      <c r="J288" s="534">
        <v>570000</v>
      </c>
    </row>
    <row r="289" spans="1:10" ht="14.25" x14ac:dyDescent="0.2">
      <c r="A289" s="506"/>
      <c r="B289" s="520"/>
      <c r="C289" s="506"/>
      <c r="D289" s="506"/>
      <c r="E289" s="506"/>
      <c r="F289" s="506"/>
      <c r="G289" s="506">
        <v>31</v>
      </c>
      <c r="H289" s="506" t="s">
        <v>550</v>
      </c>
      <c r="I289" s="506" t="s">
        <v>519</v>
      </c>
      <c r="J289" s="534">
        <v>100000</v>
      </c>
    </row>
    <row r="290" spans="1:10" ht="14.25" x14ac:dyDescent="0.2">
      <c r="A290" s="506"/>
      <c r="B290" s="520"/>
      <c r="C290" s="506"/>
      <c r="D290" s="506"/>
      <c r="E290" s="506"/>
      <c r="F290" s="506"/>
      <c r="G290" s="506">
        <v>31</v>
      </c>
      <c r="H290" s="506" t="s">
        <v>552</v>
      </c>
      <c r="I290" s="506" t="s">
        <v>519</v>
      </c>
      <c r="J290" s="534">
        <v>100000</v>
      </c>
    </row>
    <row r="291" spans="1:10" s="514" customFormat="1" ht="14.25" x14ac:dyDescent="0.2">
      <c r="A291" s="522"/>
      <c r="B291" s="522"/>
      <c r="C291" s="522">
        <v>132</v>
      </c>
      <c r="D291" s="522"/>
      <c r="E291" s="522" t="s">
        <v>564</v>
      </c>
      <c r="F291" s="522"/>
      <c r="G291" s="522">
        <v>31</v>
      </c>
      <c r="H291" s="522"/>
      <c r="I291" s="522"/>
      <c r="J291" s="536">
        <v>7521779</v>
      </c>
    </row>
    <row r="292" spans="1:10" s="514" customFormat="1" ht="14.25" x14ac:dyDescent="0.2">
      <c r="A292" s="506"/>
      <c r="B292" s="520"/>
      <c r="C292" s="506">
        <v>132</v>
      </c>
      <c r="D292" s="506"/>
      <c r="E292" s="506"/>
      <c r="F292" s="506"/>
      <c r="G292" s="506">
        <v>390</v>
      </c>
      <c r="H292" s="506" t="s">
        <v>617</v>
      </c>
      <c r="I292" s="506" t="s">
        <v>519</v>
      </c>
      <c r="J292" s="534">
        <v>17791</v>
      </c>
    </row>
    <row r="293" spans="1:10" s="514" customFormat="1" ht="14.25" x14ac:dyDescent="0.2">
      <c r="A293" s="522"/>
      <c r="B293" s="522"/>
      <c r="C293" s="522">
        <v>132</v>
      </c>
      <c r="D293" s="522"/>
      <c r="E293" s="522"/>
      <c r="F293" s="522"/>
      <c r="G293" s="522">
        <v>390</v>
      </c>
      <c r="H293" s="522"/>
      <c r="I293" s="522"/>
      <c r="J293" s="536">
        <v>17791</v>
      </c>
    </row>
    <row r="294" spans="1:10" s="514" customFormat="1" ht="14.25" x14ac:dyDescent="0.2">
      <c r="A294" s="506"/>
      <c r="B294" s="520"/>
      <c r="C294" s="506">
        <v>132</v>
      </c>
      <c r="D294" s="506"/>
      <c r="E294" s="506"/>
      <c r="F294" s="506"/>
      <c r="G294" s="506">
        <v>380</v>
      </c>
      <c r="H294" s="506" t="s">
        <v>617</v>
      </c>
      <c r="I294" s="506" t="s">
        <v>519</v>
      </c>
      <c r="J294" s="534">
        <v>41261</v>
      </c>
    </row>
    <row r="295" spans="1:10" s="514" customFormat="1" ht="14.25" x14ac:dyDescent="0.2">
      <c r="A295" s="522"/>
      <c r="B295" s="522"/>
      <c r="C295" s="522">
        <v>132</v>
      </c>
      <c r="D295" s="522"/>
      <c r="E295" s="522"/>
      <c r="F295" s="522"/>
      <c r="G295" s="522">
        <v>380</v>
      </c>
      <c r="H295" s="522"/>
      <c r="I295" s="522"/>
      <c r="J295" s="536">
        <v>41261</v>
      </c>
    </row>
    <row r="296" spans="1:10" s="514" customFormat="1" ht="14.25" x14ac:dyDescent="0.2">
      <c r="A296" s="506"/>
      <c r="B296" s="520"/>
      <c r="C296" s="506">
        <v>132</v>
      </c>
      <c r="D296" s="506"/>
      <c r="E296" s="506"/>
      <c r="F296" s="506"/>
      <c r="G296" s="506">
        <v>370</v>
      </c>
      <c r="H296" s="506" t="s">
        <v>617</v>
      </c>
      <c r="I296" s="506" t="s">
        <v>519</v>
      </c>
      <c r="J296" s="534">
        <v>19380</v>
      </c>
    </row>
    <row r="297" spans="1:10" s="514" customFormat="1" ht="14.25" x14ac:dyDescent="0.2">
      <c r="A297" s="522"/>
      <c r="B297" s="522"/>
      <c r="C297" s="522">
        <v>132</v>
      </c>
      <c r="D297" s="522"/>
      <c r="E297" s="522"/>
      <c r="F297" s="522"/>
      <c r="G297" s="522">
        <v>370</v>
      </c>
      <c r="H297" s="522"/>
      <c r="I297" s="522"/>
      <c r="J297" s="536">
        <v>19380</v>
      </c>
    </row>
    <row r="298" spans="1:10" s="514" customFormat="1" ht="14.25" x14ac:dyDescent="0.2">
      <c r="A298" s="506"/>
      <c r="B298" s="520"/>
      <c r="C298" s="506">
        <v>132</v>
      </c>
      <c r="D298" s="506"/>
      <c r="E298" s="506"/>
      <c r="F298" s="506"/>
      <c r="G298" s="506">
        <v>360</v>
      </c>
      <c r="H298" s="506" t="s">
        <v>617</v>
      </c>
      <c r="I298" s="506" t="s">
        <v>519</v>
      </c>
      <c r="J298" s="534">
        <v>1950</v>
      </c>
    </row>
    <row r="299" spans="1:10" s="514" customFormat="1" ht="14.25" x14ac:dyDescent="0.2">
      <c r="A299" s="522"/>
      <c r="B299" s="522"/>
      <c r="C299" s="522">
        <v>132</v>
      </c>
      <c r="D299" s="522"/>
      <c r="E299" s="522"/>
      <c r="F299" s="522"/>
      <c r="G299" s="522">
        <v>360</v>
      </c>
      <c r="H299" s="522"/>
      <c r="I299" s="522"/>
      <c r="J299" s="536">
        <v>1950</v>
      </c>
    </row>
    <row r="300" spans="1:10" ht="14.25" x14ac:dyDescent="0.2">
      <c r="A300" s="506"/>
      <c r="B300" s="520"/>
      <c r="C300" s="506">
        <v>132</v>
      </c>
      <c r="D300" s="506"/>
      <c r="E300" s="506"/>
      <c r="F300" s="506"/>
      <c r="G300" s="506">
        <v>340</v>
      </c>
      <c r="H300" s="506" t="s">
        <v>617</v>
      </c>
      <c r="I300" s="506" t="s">
        <v>519</v>
      </c>
      <c r="J300" s="534">
        <v>85654</v>
      </c>
    </row>
    <row r="301" spans="1:10" s="514" customFormat="1" ht="14.25" x14ac:dyDescent="0.2">
      <c r="A301" s="522"/>
      <c r="B301" s="522"/>
      <c r="C301" s="522">
        <v>132</v>
      </c>
      <c r="D301" s="522"/>
      <c r="E301" s="522"/>
      <c r="F301" s="522"/>
      <c r="G301" s="522">
        <v>340</v>
      </c>
      <c r="H301" s="522"/>
      <c r="I301" s="522"/>
      <c r="J301" s="536">
        <v>85654</v>
      </c>
    </row>
    <row r="302" spans="1:10" ht="14.25" x14ac:dyDescent="0.2">
      <c r="A302" s="506"/>
      <c r="B302" s="520"/>
      <c r="C302" s="506">
        <v>132</v>
      </c>
      <c r="D302" s="506"/>
      <c r="E302" s="506"/>
      <c r="F302" s="506"/>
      <c r="G302" s="506">
        <v>330</v>
      </c>
      <c r="H302" s="506" t="s">
        <v>617</v>
      </c>
      <c r="I302" s="506" t="s">
        <v>519</v>
      </c>
      <c r="J302" s="534">
        <v>16365</v>
      </c>
    </row>
    <row r="303" spans="1:10" s="514" customFormat="1" ht="14.25" x14ac:dyDescent="0.2">
      <c r="A303" s="522"/>
      <c r="B303" s="522"/>
      <c r="C303" s="522">
        <v>132</v>
      </c>
      <c r="D303" s="522"/>
      <c r="E303" s="522"/>
      <c r="F303" s="522"/>
      <c r="G303" s="522">
        <v>330</v>
      </c>
      <c r="H303" s="522"/>
      <c r="I303" s="522"/>
      <c r="J303" s="536">
        <v>16365</v>
      </c>
    </row>
    <row r="304" spans="1:10" ht="14.25" x14ac:dyDescent="0.2">
      <c r="A304" s="506"/>
      <c r="B304" s="520"/>
      <c r="C304" s="506">
        <v>132</v>
      </c>
      <c r="D304" s="506"/>
      <c r="E304" s="506"/>
      <c r="F304" s="506"/>
      <c r="G304" s="506">
        <v>320</v>
      </c>
      <c r="H304" s="506" t="s">
        <v>617</v>
      </c>
      <c r="I304" s="506" t="s">
        <v>519</v>
      </c>
      <c r="J304" s="534">
        <v>12195</v>
      </c>
    </row>
    <row r="305" spans="1:10" s="514" customFormat="1" ht="14.25" x14ac:dyDescent="0.2">
      <c r="A305" s="522"/>
      <c r="B305" s="522"/>
      <c r="C305" s="522">
        <v>132</v>
      </c>
      <c r="D305" s="522"/>
      <c r="E305" s="522"/>
      <c r="F305" s="522"/>
      <c r="G305" s="522">
        <v>320</v>
      </c>
      <c r="H305" s="522"/>
      <c r="I305" s="522"/>
      <c r="J305" s="536">
        <v>12195</v>
      </c>
    </row>
    <row r="306" spans="1:10" ht="14.25" x14ac:dyDescent="0.2">
      <c r="A306" s="506"/>
      <c r="B306" s="520"/>
      <c r="C306" s="506">
        <v>132</v>
      </c>
      <c r="D306" s="506"/>
      <c r="E306" s="506"/>
      <c r="F306" s="506"/>
      <c r="G306" s="506">
        <v>310</v>
      </c>
      <c r="H306" s="506" t="s">
        <v>617</v>
      </c>
      <c r="I306" s="506" t="s">
        <v>519</v>
      </c>
      <c r="J306" s="534">
        <v>12100</v>
      </c>
    </row>
    <row r="307" spans="1:10" s="514" customFormat="1" ht="14.25" x14ac:dyDescent="0.2">
      <c r="A307" s="522"/>
      <c r="B307" s="522"/>
      <c r="C307" s="522">
        <v>132</v>
      </c>
      <c r="D307" s="522"/>
      <c r="E307" s="522"/>
      <c r="F307" s="522"/>
      <c r="G307" s="522">
        <v>310</v>
      </c>
      <c r="H307" s="522"/>
      <c r="I307" s="522"/>
      <c r="J307" s="536">
        <v>12100</v>
      </c>
    </row>
    <row r="308" spans="1:10" ht="14.25" x14ac:dyDescent="0.2">
      <c r="A308" s="506"/>
      <c r="B308" s="520"/>
      <c r="C308" s="506">
        <v>132</v>
      </c>
      <c r="D308" s="506"/>
      <c r="E308" s="506"/>
      <c r="F308" s="506"/>
      <c r="G308" s="506">
        <v>300</v>
      </c>
      <c r="H308" s="506" t="s">
        <v>617</v>
      </c>
      <c r="I308" s="506" t="s">
        <v>519</v>
      </c>
      <c r="J308" s="534">
        <v>15000</v>
      </c>
    </row>
    <row r="309" spans="1:10" s="514" customFormat="1" ht="14.25" x14ac:dyDescent="0.2">
      <c r="A309" s="522"/>
      <c r="B309" s="522"/>
      <c r="C309" s="522">
        <v>132</v>
      </c>
      <c r="D309" s="522"/>
      <c r="E309" s="522"/>
      <c r="F309" s="522"/>
      <c r="G309" s="522">
        <v>300</v>
      </c>
      <c r="H309" s="522"/>
      <c r="I309" s="522"/>
      <c r="J309" s="536">
        <v>15000</v>
      </c>
    </row>
    <row r="310" spans="1:10" ht="14.25" x14ac:dyDescent="0.2">
      <c r="A310" s="506"/>
      <c r="B310" s="520"/>
      <c r="C310" s="506">
        <v>132</v>
      </c>
      <c r="D310" s="506"/>
      <c r="E310" s="506"/>
      <c r="F310" s="506"/>
      <c r="G310" s="506">
        <v>280</v>
      </c>
      <c r="H310" s="506" t="s">
        <v>617</v>
      </c>
      <c r="I310" s="506" t="s">
        <v>519</v>
      </c>
      <c r="J310" s="534">
        <v>2815</v>
      </c>
    </row>
    <row r="311" spans="1:10" s="514" customFormat="1" ht="14.25" x14ac:dyDescent="0.2">
      <c r="A311" s="522"/>
      <c r="B311" s="522"/>
      <c r="C311" s="522">
        <v>132</v>
      </c>
      <c r="D311" s="522"/>
      <c r="E311" s="522"/>
      <c r="F311" s="522"/>
      <c r="G311" s="522">
        <v>280</v>
      </c>
      <c r="H311" s="522"/>
      <c r="I311" s="522"/>
      <c r="J311" s="536">
        <v>2815</v>
      </c>
    </row>
    <row r="312" spans="1:10" ht="14.25" x14ac:dyDescent="0.2">
      <c r="A312" s="506"/>
      <c r="B312" s="520"/>
      <c r="C312" s="506">
        <v>132</v>
      </c>
      <c r="D312" s="506"/>
      <c r="E312" s="506"/>
      <c r="F312" s="506"/>
      <c r="G312" s="506">
        <v>270</v>
      </c>
      <c r="H312" s="506" t="s">
        <v>617</v>
      </c>
      <c r="I312" s="506" t="s">
        <v>519</v>
      </c>
      <c r="J312" s="534">
        <v>32780</v>
      </c>
    </row>
    <row r="313" spans="1:10" s="514" customFormat="1" ht="14.25" x14ac:dyDescent="0.2">
      <c r="A313" s="522"/>
      <c r="B313" s="522"/>
      <c r="C313" s="522">
        <v>132</v>
      </c>
      <c r="D313" s="522"/>
      <c r="E313" s="522"/>
      <c r="F313" s="522"/>
      <c r="G313" s="522">
        <v>270</v>
      </c>
      <c r="H313" s="522"/>
      <c r="I313" s="522"/>
      <c r="J313" s="536">
        <v>32780</v>
      </c>
    </row>
    <row r="314" spans="1:10" ht="14.25" x14ac:dyDescent="0.2">
      <c r="A314" s="506"/>
      <c r="B314" s="520"/>
      <c r="C314" s="506">
        <v>132</v>
      </c>
      <c r="D314" s="506"/>
      <c r="E314" s="506"/>
      <c r="F314" s="506"/>
      <c r="G314" s="506">
        <v>260</v>
      </c>
      <c r="H314" s="506" t="s">
        <v>617</v>
      </c>
      <c r="I314" s="506" t="s">
        <v>519</v>
      </c>
      <c r="J314" s="534">
        <v>11000</v>
      </c>
    </row>
    <row r="315" spans="1:10" s="514" customFormat="1" ht="14.25" x14ac:dyDescent="0.2">
      <c r="A315" s="522"/>
      <c r="B315" s="522"/>
      <c r="C315" s="522">
        <v>132</v>
      </c>
      <c r="D315" s="522"/>
      <c r="E315" s="522"/>
      <c r="F315" s="522"/>
      <c r="G315" s="522">
        <v>260</v>
      </c>
      <c r="H315" s="522"/>
      <c r="I315" s="522"/>
      <c r="J315" s="536">
        <v>11000</v>
      </c>
    </row>
    <row r="316" spans="1:10" ht="14.25" x14ac:dyDescent="0.2">
      <c r="A316" s="506"/>
      <c r="B316" s="520"/>
      <c r="C316" s="506">
        <v>132</v>
      </c>
      <c r="D316" s="506"/>
      <c r="E316" s="506"/>
      <c r="F316" s="506"/>
      <c r="G316" s="506">
        <v>250</v>
      </c>
      <c r="H316" s="506" t="s">
        <v>617</v>
      </c>
      <c r="I316" s="506" t="s">
        <v>519</v>
      </c>
      <c r="J316" s="534">
        <v>21120</v>
      </c>
    </row>
    <row r="317" spans="1:10" s="514" customFormat="1" ht="14.25" x14ac:dyDescent="0.2">
      <c r="A317" s="522"/>
      <c r="B317" s="522"/>
      <c r="C317" s="522">
        <v>132</v>
      </c>
      <c r="D317" s="522"/>
      <c r="E317" s="522"/>
      <c r="F317" s="522"/>
      <c r="G317" s="522">
        <v>250</v>
      </c>
      <c r="H317" s="522"/>
      <c r="I317" s="522"/>
      <c r="J317" s="536">
        <v>21120</v>
      </c>
    </row>
    <row r="318" spans="1:10" ht="14.25" x14ac:dyDescent="0.2">
      <c r="A318" s="506"/>
      <c r="B318" s="520"/>
      <c r="C318" s="506">
        <v>132</v>
      </c>
      <c r="D318" s="506"/>
      <c r="E318" s="506"/>
      <c r="F318" s="506"/>
      <c r="G318" s="506">
        <v>240</v>
      </c>
      <c r="H318" s="506" t="s">
        <v>617</v>
      </c>
      <c r="I318" s="506" t="s">
        <v>519</v>
      </c>
      <c r="J318" s="534">
        <v>2860</v>
      </c>
    </row>
    <row r="319" spans="1:10" s="514" customFormat="1" ht="14.25" x14ac:dyDescent="0.2">
      <c r="A319" s="522"/>
      <c r="B319" s="522"/>
      <c r="C319" s="522">
        <v>132</v>
      </c>
      <c r="D319" s="522"/>
      <c r="E319" s="522"/>
      <c r="F319" s="522"/>
      <c r="G319" s="522">
        <v>240</v>
      </c>
      <c r="H319" s="522"/>
      <c r="I319" s="522"/>
      <c r="J319" s="536">
        <v>2860</v>
      </c>
    </row>
    <row r="320" spans="1:10" ht="14.25" x14ac:dyDescent="0.2">
      <c r="A320" s="506"/>
      <c r="B320" s="520"/>
      <c r="C320" s="506">
        <v>132</v>
      </c>
      <c r="D320" s="506"/>
      <c r="E320" s="506"/>
      <c r="F320" s="506"/>
      <c r="G320" s="506">
        <v>210</v>
      </c>
      <c r="H320" s="506" t="s">
        <v>617</v>
      </c>
      <c r="I320" s="506" t="s">
        <v>519</v>
      </c>
      <c r="J320" s="534">
        <v>41970</v>
      </c>
    </row>
    <row r="321" spans="1:10" s="514" customFormat="1" ht="14.25" x14ac:dyDescent="0.2">
      <c r="A321" s="522"/>
      <c r="B321" s="522"/>
      <c r="C321" s="522">
        <v>132</v>
      </c>
      <c r="D321" s="522"/>
      <c r="E321" s="522"/>
      <c r="F321" s="522"/>
      <c r="G321" s="522">
        <v>210</v>
      </c>
      <c r="H321" s="522"/>
      <c r="I321" s="522"/>
      <c r="J321" s="536">
        <v>41970</v>
      </c>
    </row>
    <row r="322" spans="1:10" ht="14.25" x14ac:dyDescent="0.2">
      <c r="A322" s="506"/>
      <c r="B322" s="520"/>
      <c r="C322" s="506">
        <v>132</v>
      </c>
      <c r="D322" s="506"/>
      <c r="E322" s="506"/>
      <c r="F322" s="506"/>
      <c r="G322" s="506">
        <v>200</v>
      </c>
      <c r="H322" s="506" t="s">
        <v>617</v>
      </c>
      <c r="I322" s="506" t="s">
        <v>519</v>
      </c>
      <c r="J322" s="534">
        <v>15938</v>
      </c>
    </row>
    <row r="323" spans="1:10" s="514" customFormat="1" ht="14.25" x14ac:dyDescent="0.2">
      <c r="A323" s="522"/>
      <c r="B323" s="522"/>
      <c r="C323" s="522">
        <v>132</v>
      </c>
      <c r="D323" s="522"/>
      <c r="E323" s="522"/>
      <c r="F323" s="522"/>
      <c r="G323" s="522">
        <v>200</v>
      </c>
      <c r="H323" s="522"/>
      <c r="I323" s="522"/>
      <c r="J323" s="536">
        <v>15938</v>
      </c>
    </row>
    <row r="324" spans="1:10" ht="14.25" x14ac:dyDescent="0.2">
      <c r="A324" s="506"/>
      <c r="B324" s="520"/>
      <c r="C324" s="506">
        <v>132</v>
      </c>
      <c r="D324" s="506"/>
      <c r="E324" s="506"/>
      <c r="F324" s="506"/>
      <c r="G324" s="506">
        <v>190</v>
      </c>
      <c r="H324" s="506" t="s">
        <v>617</v>
      </c>
      <c r="I324" s="506" t="s">
        <v>519</v>
      </c>
      <c r="J324" s="534">
        <v>76800</v>
      </c>
    </row>
    <row r="325" spans="1:10" s="514" customFormat="1" ht="14.25" x14ac:dyDescent="0.2">
      <c r="A325" s="522"/>
      <c r="B325" s="522"/>
      <c r="C325" s="522">
        <v>132</v>
      </c>
      <c r="D325" s="522"/>
      <c r="E325" s="522"/>
      <c r="F325" s="522"/>
      <c r="G325" s="522">
        <v>190</v>
      </c>
      <c r="H325" s="522"/>
      <c r="I325" s="522"/>
      <c r="J325" s="536">
        <v>76800</v>
      </c>
    </row>
    <row r="326" spans="1:10" ht="14.25" x14ac:dyDescent="0.2">
      <c r="A326" s="506"/>
      <c r="B326" s="520"/>
      <c r="C326" s="506">
        <v>132</v>
      </c>
      <c r="D326" s="506"/>
      <c r="E326" s="506"/>
      <c r="F326" s="506"/>
      <c r="G326" s="506">
        <v>180</v>
      </c>
      <c r="H326" s="506" t="s">
        <v>617</v>
      </c>
      <c r="I326" s="506" t="s">
        <v>519</v>
      </c>
      <c r="J326" s="534">
        <v>25293</v>
      </c>
    </row>
    <row r="327" spans="1:10" s="514" customFormat="1" ht="14.25" x14ac:dyDescent="0.2">
      <c r="A327" s="522"/>
      <c r="B327" s="522"/>
      <c r="C327" s="522">
        <v>132</v>
      </c>
      <c r="D327" s="522"/>
      <c r="E327" s="522"/>
      <c r="F327" s="522"/>
      <c r="G327" s="522">
        <v>180</v>
      </c>
      <c r="H327" s="522"/>
      <c r="I327" s="522"/>
      <c r="J327" s="536">
        <v>25293</v>
      </c>
    </row>
    <row r="328" spans="1:10" ht="14.25" x14ac:dyDescent="0.2">
      <c r="A328" s="506"/>
      <c r="B328" s="520"/>
      <c r="C328" s="506">
        <v>132</v>
      </c>
      <c r="D328" s="506"/>
      <c r="E328" s="506"/>
      <c r="F328" s="506"/>
      <c r="G328" s="506">
        <v>170</v>
      </c>
      <c r="H328" s="506" t="s">
        <v>617</v>
      </c>
      <c r="I328" s="506" t="s">
        <v>519</v>
      </c>
      <c r="J328" s="534">
        <v>10700</v>
      </c>
    </row>
    <row r="329" spans="1:10" s="514" customFormat="1" ht="14.25" x14ac:dyDescent="0.2">
      <c r="A329" s="522"/>
      <c r="B329" s="522"/>
      <c r="C329" s="522">
        <v>132</v>
      </c>
      <c r="D329" s="522"/>
      <c r="E329" s="522"/>
      <c r="F329" s="522"/>
      <c r="G329" s="522">
        <v>170</v>
      </c>
      <c r="H329" s="522"/>
      <c r="I329" s="522"/>
      <c r="J329" s="536">
        <v>10700</v>
      </c>
    </row>
    <row r="330" spans="1:10" ht="14.25" x14ac:dyDescent="0.2">
      <c r="A330" s="506"/>
      <c r="B330" s="520"/>
      <c r="C330" s="506">
        <v>132</v>
      </c>
      <c r="D330" s="506"/>
      <c r="E330" s="506"/>
      <c r="F330" s="506"/>
      <c r="G330" s="506">
        <v>160</v>
      </c>
      <c r="H330" s="506" t="s">
        <v>617</v>
      </c>
      <c r="I330" s="506" t="s">
        <v>519</v>
      </c>
      <c r="J330" s="534">
        <v>32000</v>
      </c>
    </row>
    <row r="331" spans="1:10" s="514" customFormat="1" ht="14.25" x14ac:dyDescent="0.2">
      <c r="A331" s="522"/>
      <c r="B331" s="522"/>
      <c r="C331" s="522">
        <v>132</v>
      </c>
      <c r="D331" s="522"/>
      <c r="E331" s="522"/>
      <c r="F331" s="522"/>
      <c r="G331" s="522">
        <v>160</v>
      </c>
      <c r="H331" s="522"/>
      <c r="I331" s="522"/>
      <c r="J331" s="536">
        <v>32000</v>
      </c>
    </row>
    <row r="332" spans="1:10" ht="14.25" x14ac:dyDescent="0.2">
      <c r="A332" s="506"/>
      <c r="B332" s="520"/>
      <c r="C332" s="506">
        <v>132</v>
      </c>
      <c r="D332" s="506"/>
      <c r="E332" s="506"/>
      <c r="F332" s="506"/>
      <c r="G332" s="506">
        <v>150</v>
      </c>
      <c r="H332" s="506" t="s">
        <v>617</v>
      </c>
      <c r="I332" s="506" t="s">
        <v>519</v>
      </c>
      <c r="J332" s="534">
        <v>21500</v>
      </c>
    </row>
    <row r="333" spans="1:10" s="514" customFormat="1" ht="14.25" x14ac:dyDescent="0.2">
      <c r="A333" s="522"/>
      <c r="B333" s="522"/>
      <c r="C333" s="522">
        <v>132</v>
      </c>
      <c r="D333" s="522"/>
      <c r="E333" s="522"/>
      <c r="F333" s="522"/>
      <c r="G333" s="522">
        <v>150</v>
      </c>
      <c r="H333" s="522"/>
      <c r="I333" s="522"/>
      <c r="J333" s="536">
        <v>21500</v>
      </c>
    </row>
    <row r="334" spans="1:10" ht="14.25" x14ac:dyDescent="0.2">
      <c r="A334" s="506"/>
      <c r="B334" s="520"/>
      <c r="C334" s="506">
        <v>132</v>
      </c>
      <c r="D334" s="506"/>
      <c r="E334" s="506"/>
      <c r="F334" s="506"/>
      <c r="G334" s="506">
        <v>140</v>
      </c>
      <c r="H334" s="506" t="s">
        <v>617</v>
      </c>
      <c r="I334" s="506" t="s">
        <v>519</v>
      </c>
      <c r="J334" s="534">
        <v>45955</v>
      </c>
    </row>
    <row r="335" spans="1:10" s="514" customFormat="1" ht="14.25" x14ac:dyDescent="0.2">
      <c r="A335" s="522"/>
      <c r="B335" s="522"/>
      <c r="C335" s="522">
        <v>132</v>
      </c>
      <c r="D335" s="522"/>
      <c r="E335" s="522"/>
      <c r="F335" s="522"/>
      <c r="G335" s="522">
        <v>140</v>
      </c>
      <c r="H335" s="522"/>
      <c r="I335" s="522"/>
      <c r="J335" s="536">
        <v>45955</v>
      </c>
    </row>
    <row r="336" spans="1:10" ht="14.25" x14ac:dyDescent="0.2">
      <c r="A336" s="506"/>
      <c r="B336" s="520"/>
      <c r="C336" s="506">
        <v>132</v>
      </c>
      <c r="D336" s="506"/>
      <c r="E336" s="506"/>
      <c r="F336" s="506"/>
      <c r="G336" s="506">
        <v>130</v>
      </c>
      <c r="H336" s="506" t="s">
        <v>617</v>
      </c>
      <c r="I336" s="506" t="s">
        <v>519</v>
      </c>
      <c r="J336" s="534">
        <v>13660</v>
      </c>
    </row>
    <row r="337" spans="1:10" s="514" customFormat="1" ht="14.25" x14ac:dyDescent="0.2">
      <c r="A337" s="522"/>
      <c r="B337" s="522"/>
      <c r="C337" s="522">
        <v>132</v>
      </c>
      <c r="D337" s="522"/>
      <c r="E337" s="522"/>
      <c r="F337" s="522"/>
      <c r="G337" s="522">
        <v>130</v>
      </c>
      <c r="H337" s="522"/>
      <c r="I337" s="522"/>
      <c r="J337" s="536">
        <v>13660</v>
      </c>
    </row>
    <row r="338" spans="1:10" ht="14.25" x14ac:dyDescent="0.2">
      <c r="A338" s="506"/>
      <c r="B338" s="520"/>
      <c r="C338" s="506">
        <v>132</v>
      </c>
      <c r="D338" s="506"/>
      <c r="E338" s="506"/>
      <c r="F338" s="506"/>
      <c r="G338" s="506">
        <v>120</v>
      </c>
      <c r="H338" s="506" t="s">
        <v>617</v>
      </c>
      <c r="I338" s="506" t="s">
        <v>519</v>
      </c>
      <c r="J338" s="534">
        <v>26270</v>
      </c>
    </row>
    <row r="339" spans="1:10" s="514" customFormat="1" ht="14.25" x14ac:dyDescent="0.2">
      <c r="A339" s="522"/>
      <c r="B339" s="522"/>
      <c r="C339" s="522">
        <v>132</v>
      </c>
      <c r="D339" s="522"/>
      <c r="E339" s="522"/>
      <c r="F339" s="522"/>
      <c r="G339" s="522">
        <v>120</v>
      </c>
      <c r="H339" s="522"/>
      <c r="I339" s="522"/>
      <c r="J339" s="536">
        <v>26270</v>
      </c>
    </row>
    <row r="340" spans="1:10" ht="14.25" x14ac:dyDescent="0.2">
      <c r="A340" s="506"/>
      <c r="B340" s="520"/>
      <c r="C340" s="506">
        <v>132</v>
      </c>
      <c r="D340" s="506"/>
      <c r="E340" s="506"/>
      <c r="F340" s="506"/>
      <c r="G340" s="506">
        <v>110</v>
      </c>
      <c r="H340" s="506" t="s">
        <v>617</v>
      </c>
      <c r="I340" s="506" t="s">
        <v>519</v>
      </c>
      <c r="J340" s="534">
        <v>45850</v>
      </c>
    </row>
    <row r="341" spans="1:10" s="514" customFormat="1" ht="14.25" x14ac:dyDescent="0.2">
      <c r="A341" s="522"/>
      <c r="B341" s="522"/>
      <c r="C341" s="522">
        <v>132</v>
      </c>
      <c r="D341" s="522"/>
      <c r="E341" s="522"/>
      <c r="F341" s="522"/>
      <c r="G341" s="522">
        <v>110</v>
      </c>
      <c r="H341" s="522"/>
      <c r="I341" s="522"/>
      <c r="J341" s="536">
        <v>45850</v>
      </c>
    </row>
    <row r="342" spans="1:10" ht="14.25" x14ac:dyDescent="0.2">
      <c r="A342" s="506"/>
      <c r="B342" s="520"/>
      <c r="C342" s="506">
        <v>132</v>
      </c>
      <c r="D342" s="506"/>
      <c r="E342" s="506"/>
      <c r="F342" s="506"/>
      <c r="G342" s="506">
        <v>100</v>
      </c>
      <c r="H342" s="506" t="s">
        <v>617</v>
      </c>
      <c r="I342" s="506" t="s">
        <v>519</v>
      </c>
      <c r="J342" s="534">
        <v>56912</v>
      </c>
    </row>
    <row r="343" spans="1:10" s="514" customFormat="1" ht="14.25" x14ac:dyDescent="0.2">
      <c r="A343" s="522"/>
      <c r="B343" s="522"/>
      <c r="C343" s="522">
        <v>132</v>
      </c>
      <c r="D343" s="522"/>
      <c r="E343" s="522"/>
      <c r="F343" s="522"/>
      <c r="G343" s="522">
        <v>100</v>
      </c>
      <c r="H343" s="522"/>
      <c r="I343" s="522"/>
      <c r="J343" s="536">
        <v>56912</v>
      </c>
    </row>
    <row r="344" spans="1:10" ht="14.25" x14ac:dyDescent="0.2">
      <c r="A344" s="506"/>
      <c r="B344" s="520"/>
      <c r="C344" s="506">
        <v>132</v>
      </c>
      <c r="D344" s="506"/>
      <c r="E344" s="506"/>
      <c r="F344" s="506"/>
      <c r="G344" s="506">
        <v>90</v>
      </c>
      <c r="H344" s="506" t="s">
        <v>617</v>
      </c>
      <c r="I344" s="506" t="s">
        <v>519</v>
      </c>
      <c r="J344" s="534">
        <v>34000</v>
      </c>
    </row>
    <row r="345" spans="1:10" s="514" customFormat="1" ht="14.25" x14ac:dyDescent="0.2">
      <c r="A345" s="522"/>
      <c r="B345" s="522"/>
      <c r="C345" s="522">
        <v>132</v>
      </c>
      <c r="D345" s="522"/>
      <c r="E345" s="522"/>
      <c r="F345" s="522"/>
      <c r="G345" s="522">
        <v>90</v>
      </c>
      <c r="H345" s="522"/>
      <c r="I345" s="522"/>
      <c r="J345" s="536">
        <v>34000</v>
      </c>
    </row>
    <row r="346" spans="1:10" ht="14.25" x14ac:dyDescent="0.2">
      <c r="A346" s="506"/>
      <c r="B346" s="520"/>
      <c r="C346" s="506">
        <v>132</v>
      </c>
      <c r="D346" s="506"/>
      <c r="E346" s="506"/>
      <c r="F346" s="506"/>
      <c r="G346" s="506">
        <v>80</v>
      </c>
      <c r="H346" s="506" t="s">
        <v>617</v>
      </c>
      <c r="I346" s="506" t="s">
        <v>519</v>
      </c>
      <c r="J346" s="534">
        <v>37600</v>
      </c>
    </row>
    <row r="347" spans="1:10" s="514" customFormat="1" ht="14.25" x14ac:dyDescent="0.2">
      <c r="A347" s="522"/>
      <c r="B347" s="522"/>
      <c r="C347" s="522">
        <v>132</v>
      </c>
      <c r="D347" s="522"/>
      <c r="E347" s="522"/>
      <c r="F347" s="522"/>
      <c r="G347" s="522">
        <v>80</v>
      </c>
      <c r="H347" s="522"/>
      <c r="I347" s="522"/>
      <c r="J347" s="536">
        <v>37600</v>
      </c>
    </row>
    <row r="348" spans="1:10" ht="14.25" x14ac:dyDescent="0.2">
      <c r="A348" s="506"/>
      <c r="B348" s="520"/>
      <c r="C348" s="506">
        <v>132</v>
      </c>
      <c r="D348" s="506"/>
      <c r="E348" s="506"/>
      <c r="F348" s="506"/>
      <c r="G348" s="506">
        <v>70</v>
      </c>
      <c r="H348" s="506" t="s">
        <v>617</v>
      </c>
      <c r="I348" s="506" t="s">
        <v>519</v>
      </c>
      <c r="J348" s="534">
        <v>48696</v>
      </c>
    </row>
    <row r="349" spans="1:10" s="514" customFormat="1" ht="14.25" x14ac:dyDescent="0.2">
      <c r="A349" s="522"/>
      <c r="B349" s="522"/>
      <c r="C349" s="522">
        <v>132</v>
      </c>
      <c r="D349" s="522"/>
      <c r="E349" s="522"/>
      <c r="F349" s="522"/>
      <c r="G349" s="522">
        <v>70</v>
      </c>
      <c r="H349" s="522"/>
      <c r="I349" s="522"/>
      <c r="J349" s="536">
        <v>48696</v>
      </c>
    </row>
    <row r="350" spans="1:10" ht="14.25" x14ac:dyDescent="0.2">
      <c r="A350" s="506"/>
      <c r="B350" s="520"/>
      <c r="C350" s="506">
        <v>132</v>
      </c>
      <c r="D350" s="506"/>
      <c r="E350" s="506"/>
      <c r="F350" s="506"/>
      <c r="G350" s="506">
        <v>60</v>
      </c>
      <c r="H350" s="506" t="s">
        <v>617</v>
      </c>
      <c r="I350" s="506" t="s">
        <v>519</v>
      </c>
      <c r="J350" s="534">
        <v>66698</v>
      </c>
    </row>
    <row r="351" spans="1:10" s="514" customFormat="1" ht="14.25" x14ac:dyDescent="0.2">
      <c r="A351" s="522"/>
      <c r="B351" s="522"/>
      <c r="C351" s="522">
        <v>132</v>
      </c>
      <c r="D351" s="522"/>
      <c r="E351" s="522"/>
      <c r="F351" s="522"/>
      <c r="G351" s="522">
        <v>60</v>
      </c>
      <c r="H351" s="522"/>
      <c r="I351" s="522"/>
      <c r="J351" s="536">
        <v>66698</v>
      </c>
    </row>
    <row r="352" spans="1:10" ht="14.25" x14ac:dyDescent="0.2">
      <c r="A352" s="506"/>
      <c r="B352" s="520"/>
      <c r="C352" s="506">
        <v>132</v>
      </c>
      <c r="D352" s="506"/>
      <c r="E352" s="506"/>
      <c r="F352" s="506"/>
      <c r="G352" s="506">
        <v>50</v>
      </c>
      <c r="H352" s="506" t="s">
        <v>617</v>
      </c>
      <c r="I352" s="506" t="s">
        <v>519</v>
      </c>
      <c r="J352" s="534">
        <v>35262</v>
      </c>
    </row>
    <row r="353" spans="1:11" s="514" customFormat="1" ht="14.25" x14ac:dyDescent="0.2">
      <c r="A353" s="522"/>
      <c r="B353" s="522"/>
      <c r="C353" s="522">
        <v>132</v>
      </c>
      <c r="D353" s="522"/>
      <c r="E353" s="522"/>
      <c r="F353" s="522"/>
      <c r="G353" s="522">
        <v>50</v>
      </c>
      <c r="H353" s="522"/>
      <c r="I353" s="522"/>
      <c r="J353" s="536">
        <v>35262</v>
      </c>
    </row>
    <row r="354" spans="1:11" ht="14.25" x14ac:dyDescent="0.2">
      <c r="A354" s="506"/>
      <c r="B354" s="520"/>
      <c r="C354" s="506">
        <v>132</v>
      </c>
      <c r="D354" s="506"/>
      <c r="E354" s="506"/>
      <c r="F354" s="506"/>
      <c r="G354" s="506">
        <v>40</v>
      </c>
      <c r="H354" s="506" t="s">
        <v>617</v>
      </c>
      <c r="I354" s="506" t="s">
        <v>519</v>
      </c>
      <c r="J354" s="534">
        <v>10500</v>
      </c>
    </row>
    <row r="355" spans="1:11" s="514" customFormat="1" ht="14.25" x14ac:dyDescent="0.2">
      <c r="A355" s="522"/>
      <c r="B355" s="522"/>
      <c r="C355" s="522">
        <v>132</v>
      </c>
      <c r="D355" s="522"/>
      <c r="E355" s="522"/>
      <c r="F355" s="522"/>
      <c r="G355" s="522">
        <v>40</v>
      </c>
      <c r="H355" s="522"/>
      <c r="I355" s="522"/>
      <c r="J355" s="536">
        <v>10500</v>
      </c>
    </row>
    <row r="356" spans="1:11" ht="14.25" x14ac:dyDescent="0.2">
      <c r="A356" s="506"/>
      <c r="B356" s="520"/>
      <c r="C356" s="506">
        <v>132</v>
      </c>
      <c r="D356" s="506"/>
      <c r="E356" s="506"/>
      <c r="F356" s="506"/>
      <c r="G356" s="506">
        <v>20</v>
      </c>
      <c r="H356" s="506" t="s">
        <v>617</v>
      </c>
      <c r="I356" s="506" t="s">
        <v>519</v>
      </c>
      <c r="J356" s="534">
        <v>341145</v>
      </c>
    </row>
    <row r="357" spans="1:11" s="514" customFormat="1" ht="14.25" x14ac:dyDescent="0.2">
      <c r="A357" s="522"/>
      <c r="B357" s="522"/>
      <c r="C357" s="522">
        <v>132</v>
      </c>
      <c r="D357" s="522"/>
      <c r="E357" s="522"/>
      <c r="F357" s="522"/>
      <c r="G357" s="522">
        <v>20</v>
      </c>
      <c r="H357" s="522"/>
      <c r="I357" s="522"/>
      <c r="J357" s="536">
        <v>341145</v>
      </c>
    </row>
    <row r="358" spans="1:11" s="544" customFormat="1" ht="15.75" x14ac:dyDescent="0.25">
      <c r="A358" s="510" t="s">
        <v>618</v>
      </c>
      <c r="B358" s="541"/>
      <c r="C358" s="541"/>
      <c r="D358" s="541"/>
      <c r="E358" s="541" t="s">
        <v>564</v>
      </c>
      <c r="F358" s="541"/>
      <c r="G358" s="541"/>
      <c r="H358" s="541"/>
      <c r="I358" s="541"/>
      <c r="J358" s="542">
        <f>SUM(J231+J279+J291+J301+J303+J305+J307+J309+J311+J313+J315+J317+J319+J321+J323+J325+J327+J329+J331+J333+J335+J337+J339+J341+J343+J345+J347+J349+J351+J353+J355+J357+J293+J295+J297+J299)</f>
        <v>20000000</v>
      </c>
      <c r="K358" s="543"/>
    </row>
    <row r="359" spans="1:11" ht="14.25" x14ac:dyDescent="0.2">
      <c r="A359" s="528"/>
      <c r="B359" s="528"/>
      <c r="C359" s="528"/>
      <c r="D359" s="528"/>
      <c r="E359" s="528"/>
      <c r="F359" s="528"/>
      <c r="G359" s="528"/>
      <c r="H359" s="528"/>
      <c r="I359" s="528"/>
      <c r="J359" s="545"/>
    </row>
    <row r="360" spans="1:11" ht="14.25" x14ac:dyDescent="0.2">
      <c r="A360" s="506">
        <v>184</v>
      </c>
      <c r="B360" s="520">
        <v>41787</v>
      </c>
      <c r="C360" s="506">
        <v>132</v>
      </c>
      <c r="D360" s="506" t="s">
        <v>619</v>
      </c>
      <c r="E360" s="506" t="s">
        <v>516</v>
      </c>
      <c r="F360" s="508" t="s">
        <v>517</v>
      </c>
      <c r="G360" s="506">
        <v>31</v>
      </c>
      <c r="H360" s="506" t="s">
        <v>538</v>
      </c>
      <c r="I360" s="506" t="s">
        <v>519</v>
      </c>
      <c r="J360" s="534">
        <v>-161472</v>
      </c>
    </row>
    <row r="361" spans="1:11" ht="14.25" x14ac:dyDescent="0.2">
      <c r="A361" s="506"/>
      <c r="B361" s="520"/>
      <c r="C361" s="506"/>
      <c r="D361" s="506"/>
      <c r="E361" s="506"/>
      <c r="F361" s="508" t="s">
        <v>521</v>
      </c>
      <c r="G361" s="506">
        <v>31</v>
      </c>
      <c r="H361" s="506" t="s">
        <v>537</v>
      </c>
      <c r="I361" s="506" t="s">
        <v>519</v>
      </c>
      <c r="J361" s="534">
        <v>-61359</v>
      </c>
    </row>
    <row r="362" spans="1:11" s="514" customFormat="1" ht="14.25" x14ac:dyDescent="0.2">
      <c r="A362" s="522"/>
      <c r="B362" s="522"/>
      <c r="C362" s="522">
        <v>132</v>
      </c>
      <c r="D362" s="522"/>
      <c r="E362" s="522" t="s">
        <v>516</v>
      </c>
      <c r="F362" s="522"/>
      <c r="G362" s="522">
        <v>31</v>
      </c>
      <c r="H362" s="522"/>
      <c r="I362" s="522"/>
      <c r="J362" s="536">
        <v>-222831</v>
      </c>
    </row>
    <row r="363" spans="1:11" ht="14.25" x14ac:dyDescent="0.2">
      <c r="A363" s="506"/>
      <c r="B363" s="520"/>
      <c r="C363" s="506">
        <v>132</v>
      </c>
      <c r="D363" s="506"/>
      <c r="E363" s="506" t="s">
        <v>520</v>
      </c>
      <c r="F363" s="506"/>
      <c r="G363" s="506">
        <v>20</v>
      </c>
      <c r="H363" s="506" t="s">
        <v>536</v>
      </c>
      <c r="I363" s="506" t="s">
        <v>519</v>
      </c>
      <c r="J363" s="534">
        <v>161472</v>
      </c>
    </row>
    <row r="364" spans="1:11" ht="14.25" x14ac:dyDescent="0.2">
      <c r="A364" s="506"/>
      <c r="B364" s="520"/>
      <c r="C364" s="506"/>
      <c r="D364" s="506"/>
      <c r="E364" s="506"/>
      <c r="F364" s="506"/>
      <c r="G364" s="506">
        <v>20</v>
      </c>
      <c r="H364" s="506" t="s">
        <v>537</v>
      </c>
      <c r="I364" s="506" t="s">
        <v>519</v>
      </c>
      <c r="J364" s="534">
        <v>61359</v>
      </c>
    </row>
    <row r="365" spans="1:11" s="514" customFormat="1" ht="14.25" x14ac:dyDescent="0.2">
      <c r="A365" s="522"/>
      <c r="B365" s="522"/>
      <c r="C365" s="522">
        <v>132</v>
      </c>
      <c r="D365" s="522"/>
      <c r="E365" s="522" t="s">
        <v>520</v>
      </c>
      <c r="F365" s="522"/>
      <c r="G365" s="522">
        <v>20</v>
      </c>
      <c r="H365" s="522"/>
      <c r="I365" s="522"/>
      <c r="J365" s="536">
        <v>222831</v>
      </c>
    </row>
    <row r="366" spans="1:11" s="546" customFormat="1" ht="15.75" thickBot="1" x14ac:dyDescent="0.3">
      <c r="A366" s="532" t="s">
        <v>620</v>
      </c>
      <c r="B366" s="537"/>
      <c r="C366" s="537">
        <v>132</v>
      </c>
      <c r="D366" s="537"/>
      <c r="E366" s="537"/>
      <c r="F366" s="537"/>
      <c r="G366" s="537"/>
      <c r="H366" s="537"/>
      <c r="I366" s="537"/>
      <c r="J366" s="538">
        <f>SUM(J362+J365)</f>
        <v>0</v>
      </c>
    </row>
    <row r="367" spans="1:11" ht="15" thickTop="1" x14ac:dyDescent="0.2">
      <c r="A367" s="547"/>
      <c r="B367" s="547"/>
      <c r="C367" s="547"/>
      <c r="D367" s="547"/>
      <c r="E367" s="547"/>
      <c r="F367" s="547"/>
      <c r="G367" s="547"/>
      <c r="H367" s="547"/>
      <c r="I367" s="547"/>
      <c r="J367" s="548"/>
    </row>
    <row r="368" spans="1:11" ht="14.25" x14ac:dyDescent="0.2">
      <c r="A368" s="506">
        <v>211</v>
      </c>
      <c r="B368" s="520">
        <v>41794</v>
      </c>
      <c r="C368" s="506">
        <v>132</v>
      </c>
      <c r="D368" s="506" t="s">
        <v>621</v>
      </c>
      <c r="E368" s="506" t="s">
        <v>520</v>
      </c>
      <c r="F368" s="508" t="s">
        <v>517</v>
      </c>
      <c r="G368" s="506">
        <v>340</v>
      </c>
      <c r="H368" s="506" t="s">
        <v>536</v>
      </c>
      <c r="I368" s="506" t="s">
        <v>519</v>
      </c>
      <c r="J368" s="525">
        <v>5761</v>
      </c>
    </row>
    <row r="369" spans="1:10" ht="14.25" x14ac:dyDescent="0.2">
      <c r="A369" s="506"/>
      <c r="B369" s="520"/>
      <c r="C369" s="506"/>
      <c r="D369" s="506"/>
      <c r="E369" s="506"/>
      <c r="F369" s="508" t="s">
        <v>521</v>
      </c>
      <c r="G369" s="506"/>
      <c r="H369" s="506" t="s">
        <v>537</v>
      </c>
      <c r="I369" s="506" t="s">
        <v>519</v>
      </c>
      <c r="J369" s="525">
        <v>2189</v>
      </c>
    </row>
    <row r="370" spans="1:10" s="514" customFormat="1" ht="14.25" x14ac:dyDescent="0.2">
      <c r="A370" s="549"/>
      <c r="B370" s="522"/>
      <c r="C370" s="522">
        <v>132</v>
      </c>
      <c r="D370" s="522"/>
      <c r="E370" s="522" t="s">
        <v>520</v>
      </c>
      <c r="F370" s="522"/>
      <c r="G370" s="522">
        <v>340</v>
      </c>
      <c r="H370" s="522"/>
      <c r="I370" s="522"/>
      <c r="J370" s="531">
        <v>7950</v>
      </c>
    </row>
    <row r="371" spans="1:10" ht="14.25" x14ac:dyDescent="0.2">
      <c r="A371" s="506"/>
      <c r="B371" s="520"/>
      <c r="C371" s="506">
        <v>132</v>
      </c>
      <c r="D371" s="506"/>
      <c r="E371" s="506" t="s">
        <v>516</v>
      </c>
      <c r="F371" s="506"/>
      <c r="G371" s="506">
        <v>31</v>
      </c>
      <c r="H371" s="506" t="s">
        <v>538</v>
      </c>
      <c r="I371" s="506" t="s">
        <v>519</v>
      </c>
      <c r="J371" s="525">
        <v>-5761</v>
      </c>
    </row>
    <row r="372" spans="1:10" ht="14.25" x14ac:dyDescent="0.2">
      <c r="A372" s="506"/>
      <c r="B372" s="520"/>
      <c r="C372" s="506">
        <v>132</v>
      </c>
      <c r="D372" s="506"/>
      <c r="E372" s="506"/>
      <c r="F372" s="506"/>
      <c r="G372" s="506">
        <v>31</v>
      </c>
      <c r="H372" s="506" t="s">
        <v>537</v>
      </c>
      <c r="I372" s="506" t="s">
        <v>519</v>
      </c>
      <c r="J372" s="525">
        <v>-2189</v>
      </c>
    </row>
    <row r="373" spans="1:10" ht="14.25" x14ac:dyDescent="0.2">
      <c r="A373" s="522"/>
      <c r="B373" s="522"/>
      <c r="C373" s="522">
        <v>132</v>
      </c>
      <c r="D373" s="522"/>
      <c r="E373" s="522" t="s">
        <v>516</v>
      </c>
      <c r="F373" s="522"/>
      <c r="G373" s="522">
        <v>31</v>
      </c>
      <c r="H373" s="522"/>
      <c r="I373" s="522"/>
      <c r="J373" s="531">
        <v>-7950</v>
      </c>
    </row>
    <row r="374" spans="1:10" ht="15" x14ac:dyDescent="0.25">
      <c r="A374" s="510" t="s">
        <v>622</v>
      </c>
      <c r="B374" s="550"/>
      <c r="C374" s="550">
        <v>132</v>
      </c>
      <c r="D374" s="550"/>
      <c r="E374" s="550"/>
      <c r="F374" s="550"/>
      <c r="G374" s="550"/>
      <c r="H374" s="550"/>
      <c r="I374" s="550"/>
      <c r="J374" s="551">
        <f>SUM(J370+J373)</f>
        <v>0</v>
      </c>
    </row>
    <row r="375" spans="1:10" ht="14.25" x14ac:dyDescent="0.2">
      <c r="A375" s="528"/>
      <c r="B375" s="528"/>
      <c r="C375" s="528"/>
      <c r="D375" s="528"/>
      <c r="E375" s="528"/>
      <c r="F375" s="528"/>
      <c r="G375" s="528"/>
      <c r="H375" s="528"/>
      <c r="I375" s="528"/>
      <c r="J375" s="545"/>
    </row>
    <row r="376" spans="1:10" ht="14.25" x14ac:dyDescent="0.2">
      <c r="A376" s="506">
        <v>225</v>
      </c>
      <c r="B376" s="520">
        <v>41808</v>
      </c>
      <c r="C376" s="506">
        <v>132</v>
      </c>
      <c r="D376" s="506" t="s">
        <v>623</v>
      </c>
      <c r="E376" s="506" t="s">
        <v>516</v>
      </c>
      <c r="F376" s="508" t="s">
        <v>517</v>
      </c>
      <c r="G376" s="506">
        <v>31</v>
      </c>
      <c r="H376" s="506" t="s">
        <v>538</v>
      </c>
      <c r="I376" s="506" t="s">
        <v>519</v>
      </c>
      <c r="J376" s="525">
        <v>-13906</v>
      </c>
    </row>
    <row r="377" spans="1:10" ht="14.25" x14ac:dyDescent="0.2">
      <c r="A377" s="506"/>
      <c r="B377" s="520"/>
      <c r="C377" s="506"/>
      <c r="D377" s="506"/>
      <c r="E377" s="506"/>
      <c r="F377" s="508" t="s">
        <v>521</v>
      </c>
      <c r="G377" s="506"/>
      <c r="H377" s="506" t="s">
        <v>537</v>
      </c>
      <c r="I377" s="506" t="s">
        <v>519</v>
      </c>
      <c r="J377" s="525">
        <v>-5270</v>
      </c>
    </row>
    <row r="378" spans="1:10" s="514" customFormat="1" ht="14.25" x14ac:dyDescent="0.2">
      <c r="A378" s="522"/>
      <c r="B378" s="522"/>
      <c r="C378" s="522">
        <v>132</v>
      </c>
      <c r="D378" s="522"/>
      <c r="E378" s="522" t="s">
        <v>516</v>
      </c>
      <c r="F378" s="522"/>
      <c r="G378" s="522">
        <v>31</v>
      </c>
      <c r="H378" s="522"/>
      <c r="I378" s="522"/>
      <c r="J378" s="531">
        <v>-19176</v>
      </c>
    </row>
    <row r="379" spans="1:10" ht="14.25" x14ac:dyDescent="0.2">
      <c r="A379" s="506"/>
      <c r="B379" s="520"/>
      <c r="C379" s="506">
        <v>132</v>
      </c>
      <c r="D379" s="506"/>
      <c r="E379" s="506" t="s">
        <v>520</v>
      </c>
      <c r="F379" s="506"/>
      <c r="G379" s="506">
        <v>300</v>
      </c>
      <c r="H379" s="506" t="s">
        <v>536</v>
      </c>
      <c r="I379" s="506" t="s">
        <v>519</v>
      </c>
      <c r="J379" s="525">
        <v>4666</v>
      </c>
    </row>
    <row r="380" spans="1:10" ht="14.25" x14ac:dyDescent="0.2">
      <c r="A380" s="506"/>
      <c r="B380" s="520"/>
      <c r="C380" s="506"/>
      <c r="D380" s="506"/>
      <c r="E380" s="506"/>
      <c r="F380" s="506"/>
      <c r="G380" s="506"/>
      <c r="H380" s="506" t="s">
        <v>537</v>
      </c>
      <c r="I380" s="506" t="s">
        <v>519</v>
      </c>
      <c r="J380" s="525">
        <v>1769</v>
      </c>
    </row>
    <row r="381" spans="1:10" s="514" customFormat="1" ht="14.25" x14ac:dyDescent="0.2">
      <c r="A381" s="522"/>
      <c r="B381" s="522"/>
      <c r="C381" s="522">
        <v>132</v>
      </c>
      <c r="D381" s="522"/>
      <c r="E381" s="522" t="s">
        <v>520</v>
      </c>
      <c r="F381" s="522"/>
      <c r="G381" s="522">
        <v>300</v>
      </c>
      <c r="H381" s="522"/>
      <c r="I381" s="522"/>
      <c r="J381" s="531">
        <v>6435</v>
      </c>
    </row>
    <row r="382" spans="1:10" ht="14.25" x14ac:dyDescent="0.2">
      <c r="A382" s="506"/>
      <c r="B382" s="520"/>
      <c r="C382" s="506">
        <v>132</v>
      </c>
      <c r="D382" s="506"/>
      <c r="E382" s="506" t="s">
        <v>520</v>
      </c>
      <c r="F382" s="506"/>
      <c r="G382" s="506">
        <v>160</v>
      </c>
      <c r="H382" s="506" t="s">
        <v>536</v>
      </c>
      <c r="I382" s="506" t="s">
        <v>519</v>
      </c>
      <c r="J382" s="525">
        <v>4491</v>
      </c>
    </row>
    <row r="383" spans="1:10" ht="14.25" x14ac:dyDescent="0.2">
      <c r="A383" s="506"/>
      <c r="B383" s="520"/>
      <c r="C383" s="506"/>
      <c r="D383" s="506"/>
      <c r="E383" s="506"/>
      <c r="F383" s="506"/>
      <c r="G383" s="506"/>
      <c r="H383" s="506" t="s">
        <v>537</v>
      </c>
      <c r="I383" s="506" t="s">
        <v>519</v>
      </c>
      <c r="J383" s="525">
        <v>1702</v>
      </c>
    </row>
    <row r="384" spans="1:10" s="514" customFormat="1" ht="14.25" x14ac:dyDescent="0.2">
      <c r="A384" s="522"/>
      <c r="B384" s="522"/>
      <c r="C384" s="522">
        <v>132</v>
      </c>
      <c r="D384" s="522"/>
      <c r="E384" s="522" t="s">
        <v>520</v>
      </c>
      <c r="F384" s="522"/>
      <c r="G384" s="522">
        <v>160</v>
      </c>
      <c r="H384" s="522"/>
      <c r="I384" s="522"/>
      <c r="J384" s="531">
        <v>6193</v>
      </c>
    </row>
    <row r="385" spans="1:10" ht="14.25" x14ac:dyDescent="0.2">
      <c r="A385" s="506"/>
      <c r="B385" s="520"/>
      <c r="C385" s="506">
        <v>132</v>
      </c>
      <c r="D385" s="506"/>
      <c r="E385" s="506" t="s">
        <v>520</v>
      </c>
      <c r="F385" s="506"/>
      <c r="G385" s="506">
        <v>40</v>
      </c>
      <c r="H385" s="506" t="s">
        <v>536</v>
      </c>
      <c r="I385" s="506" t="s">
        <v>519</v>
      </c>
      <c r="J385" s="525">
        <v>4749</v>
      </c>
    </row>
    <row r="386" spans="1:10" ht="14.25" x14ac:dyDescent="0.2">
      <c r="A386" s="506"/>
      <c r="B386" s="520"/>
      <c r="C386" s="506"/>
      <c r="D386" s="506"/>
      <c r="E386" s="506"/>
      <c r="F386" s="506"/>
      <c r="G386" s="506"/>
      <c r="H386" s="506" t="s">
        <v>537</v>
      </c>
      <c r="I386" s="506" t="s">
        <v>519</v>
      </c>
      <c r="J386" s="525">
        <v>1799</v>
      </c>
    </row>
    <row r="387" spans="1:10" s="514" customFormat="1" ht="14.25" x14ac:dyDescent="0.2">
      <c r="A387" s="522"/>
      <c r="B387" s="522"/>
      <c r="C387" s="522">
        <v>132</v>
      </c>
      <c r="D387" s="522"/>
      <c r="E387" s="522" t="s">
        <v>520</v>
      </c>
      <c r="F387" s="522"/>
      <c r="G387" s="522">
        <v>40</v>
      </c>
      <c r="H387" s="522"/>
      <c r="I387" s="522"/>
      <c r="J387" s="531">
        <v>6548</v>
      </c>
    </row>
    <row r="388" spans="1:10" s="546" customFormat="1" ht="15" x14ac:dyDescent="0.25">
      <c r="A388" s="510" t="s">
        <v>624</v>
      </c>
      <c r="B388" s="550"/>
      <c r="C388" s="550">
        <v>132</v>
      </c>
      <c r="D388" s="550"/>
      <c r="E388" s="550"/>
      <c r="F388" s="550"/>
      <c r="G388" s="550"/>
      <c r="H388" s="550"/>
      <c r="I388" s="550"/>
      <c r="J388" s="552">
        <f>SUM(J378+J381+J384+J387)</f>
        <v>0</v>
      </c>
    </row>
    <row r="389" spans="1:10" ht="14.25" x14ac:dyDescent="0.2">
      <c r="A389" s="528"/>
      <c r="B389" s="528"/>
      <c r="C389" s="528"/>
      <c r="D389" s="528"/>
      <c r="E389" s="528"/>
      <c r="F389" s="528"/>
      <c r="G389" s="528"/>
      <c r="H389" s="528"/>
      <c r="I389" s="528"/>
      <c r="J389" s="553"/>
    </row>
    <row r="390" spans="1:10" ht="14.25" x14ac:dyDescent="0.2">
      <c r="A390" s="506">
        <v>236</v>
      </c>
      <c r="B390" s="520">
        <v>41816</v>
      </c>
      <c r="C390" s="506">
        <v>132</v>
      </c>
      <c r="D390" s="506" t="s">
        <v>625</v>
      </c>
      <c r="E390" s="506" t="s">
        <v>516</v>
      </c>
      <c r="F390" s="508" t="s">
        <v>517</v>
      </c>
      <c r="G390" s="506">
        <v>31</v>
      </c>
      <c r="H390" s="506" t="s">
        <v>529</v>
      </c>
      <c r="I390" s="506" t="s">
        <v>519</v>
      </c>
      <c r="J390" s="525">
        <v>-16763</v>
      </c>
    </row>
    <row r="391" spans="1:10" ht="14.25" x14ac:dyDescent="0.2">
      <c r="A391" s="506"/>
      <c r="B391" s="520"/>
      <c r="C391" s="506"/>
      <c r="D391" s="506"/>
      <c r="E391" s="506" t="s">
        <v>520</v>
      </c>
      <c r="F391" s="508" t="s">
        <v>521</v>
      </c>
      <c r="G391" s="506">
        <v>31</v>
      </c>
      <c r="H391" s="506" t="s">
        <v>614</v>
      </c>
      <c r="I391" s="506" t="s">
        <v>519</v>
      </c>
      <c r="J391" s="525">
        <v>10000</v>
      </c>
    </row>
    <row r="392" spans="1:10" ht="14.25" x14ac:dyDescent="0.2">
      <c r="A392" s="506"/>
      <c r="B392" s="520"/>
      <c r="C392" s="506"/>
      <c r="D392" s="506"/>
      <c r="E392" s="506" t="s">
        <v>520</v>
      </c>
      <c r="F392" s="506"/>
      <c r="G392" s="506">
        <v>31</v>
      </c>
      <c r="H392" s="506" t="s">
        <v>531</v>
      </c>
      <c r="I392" s="506" t="s">
        <v>519</v>
      </c>
      <c r="J392" s="525">
        <v>263</v>
      </c>
    </row>
    <row r="393" spans="1:10" ht="14.25" x14ac:dyDescent="0.2">
      <c r="A393" s="506"/>
      <c r="B393" s="520"/>
      <c r="C393" s="506"/>
      <c r="D393" s="506"/>
      <c r="E393" s="506" t="s">
        <v>520</v>
      </c>
      <c r="F393" s="506"/>
      <c r="G393" s="506">
        <v>31</v>
      </c>
      <c r="H393" s="506" t="s">
        <v>626</v>
      </c>
      <c r="I393" s="506" t="s">
        <v>519</v>
      </c>
      <c r="J393" s="525">
        <v>4000</v>
      </c>
    </row>
    <row r="394" spans="1:10" ht="14.25" x14ac:dyDescent="0.2">
      <c r="A394" s="506"/>
      <c r="B394" s="520"/>
      <c r="C394" s="506"/>
      <c r="D394" s="506"/>
      <c r="E394" s="506" t="s">
        <v>520</v>
      </c>
      <c r="F394" s="506"/>
      <c r="G394" s="506">
        <v>31</v>
      </c>
      <c r="H394" s="506" t="s">
        <v>530</v>
      </c>
      <c r="I394" s="506" t="s">
        <v>519</v>
      </c>
      <c r="J394" s="525">
        <v>2500</v>
      </c>
    </row>
    <row r="395" spans="1:10" s="546" customFormat="1" ht="15" x14ac:dyDescent="0.25">
      <c r="A395" s="510" t="s">
        <v>627</v>
      </c>
      <c r="B395" s="550"/>
      <c r="C395" s="550">
        <v>132</v>
      </c>
      <c r="D395" s="550"/>
      <c r="E395" s="550"/>
      <c r="F395" s="550"/>
      <c r="G395" s="550">
        <v>31</v>
      </c>
      <c r="H395" s="550"/>
      <c r="I395" s="550"/>
      <c r="J395" s="552">
        <f>SUM(J390:J394)</f>
        <v>0</v>
      </c>
    </row>
    <row r="396" spans="1:10" ht="14.25" x14ac:dyDescent="0.2">
      <c r="A396" s="528"/>
      <c r="B396" s="528"/>
      <c r="C396" s="528"/>
      <c r="D396" s="528"/>
      <c r="E396" s="528"/>
      <c r="F396" s="528"/>
      <c r="G396" s="528"/>
      <c r="H396" s="528"/>
      <c r="I396" s="528"/>
      <c r="J396" s="553"/>
    </row>
    <row r="397" spans="1:10" ht="14.25" x14ac:dyDescent="0.2">
      <c r="A397" s="506">
        <v>238</v>
      </c>
      <c r="B397" s="520">
        <v>41816</v>
      </c>
      <c r="C397" s="506">
        <v>132</v>
      </c>
      <c r="D397" s="506" t="s">
        <v>628</v>
      </c>
      <c r="E397" s="506" t="s">
        <v>516</v>
      </c>
      <c r="F397" s="508" t="s">
        <v>517</v>
      </c>
      <c r="G397" s="506">
        <v>43</v>
      </c>
      <c r="H397" s="506" t="s">
        <v>571</v>
      </c>
      <c r="I397" s="506" t="s">
        <v>519</v>
      </c>
      <c r="J397" s="525">
        <v>-30000</v>
      </c>
    </row>
    <row r="398" spans="1:10" ht="14.25" x14ac:dyDescent="0.2">
      <c r="A398" s="506"/>
      <c r="B398" s="506"/>
      <c r="C398" s="522">
        <v>132</v>
      </c>
      <c r="D398" s="506"/>
      <c r="E398" s="522" t="s">
        <v>516</v>
      </c>
      <c r="F398" s="508" t="s">
        <v>521</v>
      </c>
      <c r="G398" s="522">
        <v>43</v>
      </c>
      <c r="H398" s="506"/>
      <c r="I398" s="506"/>
      <c r="J398" s="531">
        <v>-30000</v>
      </c>
    </row>
    <row r="399" spans="1:10" ht="14.25" x14ac:dyDescent="0.2">
      <c r="A399" s="506"/>
      <c r="B399" s="520"/>
      <c r="C399" s="506">
        <v>132</v>
      </c>
      <c r="D399" s="506"/>
      <c r="E399" s="506" t="s">
        <v>520</v>
      </c>
      <c r="F399" s="506"/>
      <c r="G399" s="506">
        <v>130</v>
      </c>
      <c r="H399" s="506" t="s">
        <v>560</v>
      </c>
      <c r="I399" s="506" t="s">
        <v>519</v>
      </c>
      <c r="J399" s="525">
        <v>3500</v>
      </c>
    </row>
    <row r="400" spans="1:10" ht="14.25" x14ac:dyDescent="0.2">
      <c r="A400" s="506"/>
      <c r="B400" s="520"/>
      <c r="C400" s="506"/>
      <c r="D400" s="506"/>
      <c r="E400" s="506" t="s">
        <v>516</v>
      </c>
      <c r="F400" s="506"/>
      <c r="G400" s="506">
        <v>130</v>
      </c>
      <c r="H400" s="506" t="s">
        <v>569</v>
      </c>
      <c r="I400" s="506" t="s">
        <v>519</v>
      </c>
      <c r="J400" s="525">
        <v>-3500</v>
      </c>
    </row>
    <row r="401" spans="1:10" s="514" customFormat="1" ht="14.25" x14ac:dyDescent="0.2">
      <c r="A401" s="522"/>
      <c r="B401" s="522"/>
      <c r="C401" s="522">
        <v>132</v>
      </c>
      <c r="D401" s="522"/>
      <c r="E401" s="522"/>
      <c r="F401" s="522"/>
      <c r="G401" s="522">
        <v>130</v>
      </c>
      <c r="H401" s="522"/>
      <c r="I401" s="522"/>
      <c r="J401" s="531">
        <f>SUM(J399:J400)</f>
        <v>0</v>
      </c>
    </row>
    <row r="402" spans="1:10" ht="14.25" x14ac:dyDescent="0.2">
      <c r="A402" s="506"/>
      <c r="B402" s="520"/>
      <c r="C402" s="506">
        <v>132</v>
      </c>
      <c r="D402" s="506"/>
      <c r="E402" s="506" t="s">
        <v>520</v>
      </c>
      <c r="F402" s="506"/>
      <c r="G402" s="506">
        <v>70</v>
      </c>
      <c r="H402" s="506" t="s">
        <v>560</v>
      </c>
      <c r="I402" s="506" t="s">
        <v>519</v>
      </c>
      <c r="J402" s="525">
        <v>3000</v>
      </c>
    </row>
    <row r="403" spans="1:10" ht="14.25" x14ac:dyDescent="0.2">
      <c r="A403" s="506"/>
      <c r="B403" s="520"/>
      <c r="C403" s="506">
        <v>132</v>
      </c>
      <c r="D403" s="506"/>
      <c r="E403" s="506" t="s">
        <v>516</v>
      </c>
      <c r="F403" s="506"/>
      <c r="G403" s="506">
        <v>70</v>
      </c>
      <c r="H403" s="506" t="s">
        <v>569</v>
      </c>
      <c r="I403" s="506" t="s">
        <v>519</v>
      </c>
      <c r="J403" s="525">
        <v>-3000</v>
      </c>
    </row>
    <row r="404" spans="1:10" s="514" customFormat="1" ht="14.25" x14ac:dyDescent="0.2">
      <c r="A404" s="522"/>
      <c r="B404" s="522"/>
      <c r="C404" s="522">
        <v>132</v>
      </c>
      <c r="D404" s="522"/>
      <c r="E404" s="522"/>
      <c r="F404" s="522"/>
      <c r="G404" s="522">
        <v>70</v>
      </c>
      <c r="H404" s="522"/>
      <c r="I404" s="522"/>
      <c r="J404" s="531">
        <f>SUM(J402:J403)</f>
        <v>0</v>
      </c>
    </row>
    <row r="405" spans="1:10" ht="14.25" x14ac:dyDescent="0.2">
      <c r="A405" s="506"/>
      <c r="B405" s="520"/>
      <c r="C405" s="506">
        <v>132</v>
      </c>
      <c r="D405" s="506"/>
      <c r="E405" s="506" t="s">
        <v>520</v>
      </c>
      <c r="F405" s="506"/>
      <c r="G405" s="506">
        <v>20</v>
      </c>
      <c r="H405" s="506" t="s">
        <v>571</v>
      </c>
      <c r="I405" s="506" t="s">
        <v>519</v>
      </c>
      <c r="J405" s="525">
        <v>30000</v>
      </c>
    </row>
    <row r="406" spans="1:10" s="514" customFormat="1" ht="14.25" x14ac:dyDescent="0.2">
      <c r="A406" s="522"/>
      <c r="B406" s="522"/>
      <c r="C406" s="522">
        <v>132</v>
      </c>
      <c r="D406" s="522"/>
      <c r="E406" s="522" t="s">
        <v>520</v>
      </c>
      <c r="F406" s="522"/>
      <c r="G406" s="522">
        <v>20</v>
      </c>
      <c r="H406" s="522"/>
      <c r="I406" s="522"/>
      <c r="J406" s="531">
        <f>SUM(J405)</f>
        <v>30000</v>
      </c>
    </row>
    <row r="407" spans="1:10" s="546" customFormat="1" ht="15.75" thickBot="1" x14ac:dyDescent="0.3">
      <c r="A407" s="532" t="s">
        <v>629</v>
      </c>
      <c r="B407" s="537"/>
      <c r="C407" s="537">
        <v>132</v>
      </c>
      <c r="D407" s="537"/>
      <c r="E407" s="537"/>
      <c r="F407" s="537"/>
      <c r="G407" s="537"/>
      <c r="H407" s="537"/>
      <c r="I407" s="537"/>
      <c r="J407" s="554">
        <f>SUM(J398+J401+J404+J406)</f>
        <v>0</v>
      </c>
    </row>
    <row r="408" spans="1:10" ht="13.5" thickTop="1" x14ac:dyDescent="0.2">
      <c r="A408" s="533"/>
      <c r="B408" s="533"/>
      <c r="C408" s="533"/>
      <c r="D408" s="533"/>
      <c r="E408" s="533"/>
      <c r="F408" s="533"/>
      <c r="G408" s="533"/>
      <c r="H408" s="533"/>
      <c r="I408" s="533"/>
      <c r="J408" s="533"/>
    </row>
    <row r="409" spans="1:10" ht="14.25" x14ac:dyDescent="0.2">
      <c r="A409" s="555" t="s">
        <v>630</v>
      </c>
      <c r="B409" s="556">
        <v>41836</v>
      </c>
      <c r="C409" s="555" t="s">
        <v>631</v>
      </c>
      <c r="D409" s="555" t="s">
        <v>632</v>
      </c>
      <c r="E409" s="555" t="s">
        <v>520</v>
      </c>
      <c r="F409" s="508" t="s">
        <v>517</v>
      </c>
      <c r="G409" s="555" t="s">
        <v>633</v>
      </c>
      <c r="H409" s="555" t="s">
        <v>536</v>
      </c>
      <c r="I409" s="555" t="s">
        <v>519</v>
      </c>
      <c r="J409" s="557">
        <v>10000</v>
      </c>
    </row>
    <row r="410" spans="1:10" s="561" customFormat="1" ht="14.25" x14ac:dyDescent="0.2">
      <c r="A410" s="558"/>
      <c r="B410" s="559"/>
      <c r="C410" s="558"/>
      <c r="D410" s="558"/>
      <c r="E410" s="558" t="s">
        <v>520</v>
      </c>
      <c r="F410" s="508" t="s">
        <v>521</v>
      </c>
      <c r="G410" s="558" t="s">
        <v>633</v>
      </c>
      <c r="H410" s="558"/>
      <c r="I410" s="558"/>
      <c r="J410" s="560">
        <v>10000</v>
      </c>
    </row>
    <row r="411" spans="1:10" ht="14.25" x14ac:dyDescent="0.2">
      <c r="A411" s="555"/>
      <c r="B411" s="556"/>
      <c r="C411" s="555" t="s">
        <v>631</v>
      </c>
      <c r="D411" s="555"/>
      <c r="E411" s="555" t="s">
        <v>516</v>
      </c>
      <c r="F411" s="555"/>
      <c r="G411" s="555" t="s">
        <v>634</v>
      </c>
      <c r="H411" s="555" t="s">
        <v>538</v>
      </c>
      <c r="I411" s="555" t="s">
        <v>519</v>
      </c>
      <c r="J411" s="557">
        <v>-30000</v>
      </c>
    </row>
    <row r="412" spans="1:10" s="561" customFormat="1" ht="14.25" x14ac:dyDescent="0.2">
      <c r="A412" s="558"/>
      <c r="B412" s="559"/>
      <c r="C412" s="558" t="s">
        <v>631</v>
      </c>
      <c r="D412" s="558"/>
      <c r="E412" s="558" t="s">
        <v>516</v>
      </c>
      <c r="F412" s="558"/>
      <c r="G412" s="558" t="s">
        <v>634</v>
      </c>
      <c r="H412" s="558"/>
      <c r="I412" s="558"/>
      <c r="J412" s="560">
        <v>-30000</v>
      </c>
    </row>
    <row r="413" spans="1:10" ht="14.25" x14ac:dyDescent="0.2">
      <c r="A413" s="555"/>
      <c r="B413" s="556"/>
      <c r="C413" s="555" t="s">
        <v>631</v>
      </c>
      <c r="D413" s="555"/>
      <c r="E413" s="555" t="s">
        <v>520</v>
      </c>
      <c r="F413" s="555"/>
      <c r="G413" s="555" t="s">
        <v>635</v>
      </c>
      <c r="H413" s="555" t="s">
        <v>536</v>
      </c>
      <c r="I413" s="555" t="s">
        <v>519</v>
      </c>
      <c r="J413" s="557">
        <v>20000</v>
      </c>
    </row>
    <row r="414" spans="1:10" s="514" customFormat="1" ht="14.25" x14ac:dyDescent="0.2">
      <c r="A414" s="562"/>
      <c r="B414" s="563"/>
      <c r="C414" s="562"/>
      <c r="D414" s="562"/>
      <c r="E414" s="562" t="s">
        <v>520</v>
      </c>
      <c r="F414" s="562"/>
      <c r="G414" s="562">
        <v>20</v>
      </c>
      <c r="H414" s="562"/>
      <c r="I414" s="562"/>
      <c r="J414" s="564">
        <f>SUM(J413)</f>
        <v>20000</v>
      </c>
    </row>
    <row r="415" spans="1:10" s="568" customFormat="1" ht="15" x14ac:dyDescent="0.25">
      <c r="A415" s="510" t="s">
        <v>636</v>
      </c>
      <c r="B415" s="565"/>
      <c r="C415" s="566" t="s">
        <v>631</v>
      </c>
      <c r="D415" s="566"/>
      <c r="E415" s="566"/>
      <c r="F415" s="566"/>
      <c r="G415" s="566"/>
      <c r="H415" s="566"/>
      <c r="I415" s="566"/>
      <c r="J415" s="567">
        <f>SUM(J410+J412+J414)</f>
        <v>0</v>
      </c>
    </row>
    <row r="416" spans="1:10" x14ac:dyDescent="0.2">
      <c r="A416" s="569"/>
      <c r="B416" s="569"/>
      <c r="C416" s="569"/>
      <c r="D416" s="569"/>
      <c r="E416" s="569"/>
      <c r="F416" s="569"/>
      <c r="G416" s="569"/>
      <c r="H416" s="569"/>
      <c r="I416" s="569"/>
      <c r="J416" s="569"/>
    </row>
    <row r="417" spans="1:10" ht="14.25" x14ac:dyDescent="0.2">
      <c r="A417" s="570" t="s">
        <v>637</v>
      </c>
      <c r="B417" s="571">
        <v>41841</v>
      </c>
      <c r="C417" s="570" t="s">
        <v>631</v>
      </c>
      <c r="D417" s="570" t="s">
        <v>638</v>
      </c>
      <c r="E417" s="570" t="s">
        <v>520</v>
      </c>
      <c r="F417" s="508" t="s">
        <v>517</v>
      </c>
      <c r="G417" s="570" t="s">
        <v>639</v>
      </c>
      <c r="H417" s="570" t="s">
        <v>552</v>
      </c>
      <c r="I417" s="570" t="s">
        <v>519</v>
      </c>
      <c r="J417" s="572">
        <v>718</v>
      </c>
    </row>
    <row r="418" spans="1:10" ht="14.25" x14ac:dyDescent="0.2">
      <c r="A418" s="570"/>
      <c r="B418" s="571"/>
      <c r="C418" s="570"/>
      <c r="D418" s="570"/>
      <c r="E418" s="570"/>
      <c r="F418" s="508" t="s">
        <v>521</v>
      </c>
      <c r="G418" s="570" t="s">
        <v>639</v>
      </c>
      <c r="H418" s="570" t="s">
        <v>551</v>
      </c>
      <c r="I418" s="570" t="s">
        <v>519</v>
      </c>
      <c r="J418" s="572">
        <v>1437</v>
      </c>
    </row>
    <row r="419" spans="1:10" s="514" customFormat="1" ht="14.25" x14ac:dyDescent="0.2">
      <c r="A419" s="573"/>
      <c r="B419" s="574"/>
      <c r="C419" s="573" t="s">
        <v>631</v>
      </c>
      <c r="D419" s="573"/>
      <c r="E419" s="573" t="s">
        <v>520</v>
      </c>
      <c r="F419" s="573"/>
      <c r="G419" s="573" t="s">
        <v>639</v>
      </c>
      <c r="H419" s="573"/>
      <c r="I419" s="573"/>
      <c r="J419" s="575">
        <v>2155</v>
      </c>
    </row>
    <row r="420" spans="1:10" ht="14.25" x14ac:dyDescent="0.2">
      <c r="A420" s="576"/>
      <c r="B420" s="577"/>
      <c r="C420" s="576" t="s">
        <v>631</v>
      </c>
      <c r="D420" s="576"/>
      <c r="E420" s="576" t="s">
        <v>520</v>
      </c>
      <c r="F420" s="576"/>
      <c r="G420" s="576" t="s">
        <v>640</v>
      </c>
      <c r="H420" s="576" t="s">
        <v>552</v>
      </c>
      <c r="I420" s="576" t="s">
        <v>519</v>
      </c>
      <c r="J420" s="578">
        <v>810</v>
      </c>
    </row>
    <row r="421" spans="1:10" ht="14.25" x14ac:dyDescent="0.2">
      <c r="A421" s="576"/>
      <c r="B421" s="577"/>
      <c r="C421" s="576"/>
      <c r="D421" s="576"/>
      <c r="E421" s="576"/>
      <c r="F421" s="576"/>
      <c r="G421" s="576" t="s">
        <v>640</v>
      </c>
      <c r="H421" s="576" t="s">
        <v>551</v>
      </c>
      <c r="I421" s="576" t="s">
        <v>519</v>
      </c>
      <c r="J421" s="578">
        <v>1619</v>
      </c>
    </row>
    <row r="422" spans="1:10" s="514" customFormat="1" ht="14.25" x14ac:dyDescent="0.2">
      <c r="A422" s="573"/>
      <c r="B422" s="574"/>
      <c r="C422" s="573" t="s">
        <v>631</v>
      </c>
      <c r="D422" s="573"/>
      <c r="E422" s="573" t="s">
        <v>520</v>
      </c>
      <c r="F422" s="573"/>
      <c r="G422" s="573" t="s">
        <v>640</v>
      </c>
      <c r="H422" s="573"/>
      <c r="I422" s="573"/>
      <c r="J422" s="575">
        <v>2429</v>
      </c>
    </row>
    <row r="423" spans="1:10" ht="14.25" x14ac:dyDescent="0.2">
      <c r="A423" s="576"/>
      <c r="B423" s="577"/>
      <c r="C423" s="576" t="s">
        <v>631</v>
      </c>
      <c r="D423" s="576"/>
      <c r="E423" s="576" t="s">
        <v>520</v>
      </c>
      <c r="F423" s="576"/>
      <c r="G423" s="576" t="s">
        <v>633</v>
      </c>
      <c r="H423" s="576" t="s">
        <v>552</v>
      </c>
      <c r="I423" s="576" t="s">
        <v>519</v>
      </c>
      <c r="J423" s="578">
        <v>740</v>
      </c>
    </row>
    <row r="424" spans="1:10" ht="14.25" x14ac:dyDescent="0.2">
      <c r="A424" s="576"/>
      <c r="B424" s="577"/>
      <c r="C424" s="576"/>
      <c r="D424" s="576"/>
      <c r="E424" s="576"/>
      <c r="F424" s="576"/>
      <c r="G424" s="576" t="s">
        <v>633</v>
      </c>
      <c r="H424" s="576" t="s">
        <v>551</v>
      </c>
      <c r="I424" s="576" t="s">
        <v>519</v>
      </c>
      <c r="J424" s="578">
        <v>1479</v>
      </c>
    </row>
    <row r="425" spans="1:10" s="514" customFormat="1" ht="14.25" x14ac:dyDescent="0.2">
      <c r="A425" s="573"/>
      <c r="B425" s="574"/>
      <c r="C425" s="573" t="s">
        <v>631</v>
      </c>
      <c r="D425" s="573"/>
      <c r="E425" s="573" t="s">
        <v>520</v>
      </c>
      <c r="F425" s="573"/>
      <c r="G425" s="573" t="s">
        <v>633</v>
      </c>
      <c r="H425" s="573"/>
      <c r="I425" s="573"/>
      <c r="J425" s="575">
        <v>2219</v>
      </c>
    </row>
    <row r="426" spans="1:10" ht="14.25" x14ac:dyDescent="0.2">
      <c r="A426" s="576"/>
      <c r="B426" s="577"/>
      <c r="C426" s="576" t="s">
        <v>631</v>
      </c>
      <c r="D426" s="576"/>
      <c r="E426" s="576" t="s">
        <v>520</v>
      </c>
      <c r="F426" s="576"/>
      <c r="G426" s="576" t="s">
        <v>641</v>
      </c>
      <c r="H426" s="576" t="s">
        <v>552</v>
      </c>
      <c r="I426" s="576" t="s">
        <v>519</v>
      </c>
      <c r="J426" s="578">
        <v>800</v>
      </c>
    </row>
    <row r="427" spans="1:10" ht="14.25" x14ac:dyDescent="0.2">
      <c r="A427" s="576"/>
      <c r="B427" s="577"/>
      <c r="C427" s="576" t="s">
        <v>631</v>
      </c>
      <c r="D427" s="576"/>
      <c r="E427" s="576"/>
      <c r="F427" s="576"/>
      <c r="G427" s="576" t="s">
        <v>641</v>
      </c>
      <c r="H427" s="576" t="s">
        <v>551</v>
      </c>
      <c r="I427" s="576" t="s">
        <v>519</v>
      </c>
      <c r="J427" s="578">
        <v>1600</v>
      </c>
    </row>
    <row r="428" spans="1:10" s="514" customFormat="1" ht="14.25" x14ac:dyDescent="0.2">
      <c r="A428" s="573"/>
      <c r="B428" s="574"/>
      <c r="C428" s="573" t="s">
        <v>631</v>
      </c>
      <c r="D428" s="573"/>
      <c r="E428" s="573" t="s">
        <v>520</v>
      </c>
      <c r="F428" s="573"/>
      <c r="G428" s="573" t="s">
        <v>641</v>
      </c>
      <c r="H428" s="573"/>
      <c r="I428" s="573"/>
      <c r="J428" s="575">
        <v>2400</v>
      </c>
    </row>
    <row r="429" spans="1:10" ht="14.25" x14ac:dyDescent="0.2">
      <c r="A429" s="576"/>
      <c r="B429" s="577"/>
      <c r="C429" s="576" t="s">
        <v>631</v>
      </c>
      <c r="D429" s="576"/>
      <c r="E429" s="576" t="s">
        <v>520</v>
      </c>
      <c r="F429" s="576"/>
      <c r="G429" s="576" t="s">
        <v>642</v>
      </c>
      <c r="H429" s="576" t="s">
        <v>552</v>
      </c>
      <c r="I429" s="576" t="s">
        <v>519</v>
      </c>
      <c r="J429" s="578">
        <v>756</v>
      </c>
    </row>
    <row r="430" spans="1:10" ht="14.25" x14ac:dyDescent="0.2">
      <c r="A430" s="576"/>
      <c r="B430" s="577"/>
      <c r="C430" s="576" t="s">
        <v>631</v>
      </c>
      <c r="D430" s="576"/>
      <c r="E430" s="576"/>
      <c r="F430" s="576"/>
      <c r="G430" s="576" t="s">
        <v>642</v>
      </c>
      <c r="H430" s="576" t="s">
        <v>551</v>
      </c>
      <c r="I430" s="576" t="s">
        <v>519</v>
      </c>
      <c r="J430" s="578">
        <v>1512</v>
      </c>
    </row>
    <row r="431" spans="1:10" s="514" customFormat="1" ht="14.25" x14ac:dyDescent="0.2">
      <c r="A431" s="573"/>
      <c r="B431" s="574"/>
      <c r="C431" s="573" t="s">
        <v>631</v>
      </c>
      <c r="D431" s="573"/>
      <c r="E431" s="573" t="s">
        <v>520</v>
      </c>
      <c r="F431" s="573"/>
      <c r="G431" s="573" t="s">
        <v>642</v>
      </c>
      <c r="H431" s="573"/>
      <c r="I431" s="573"/>
      <c r="J431" s="575">
        <v>2268</v>
      </c>
    </row>
    <row r="432" spans="1:10" ht="14.25" x14ac:dyDescent="0.2">
      <c r="A432" s="576"/>
      <c r="B432" s="577"/>
      <c r="C432" s="576" t="s">
        <v>631</v>
      </c>
      <c r="D432" s="576"/>
      <c r="E432" s="576" t="s">
        <v>516</v>
      </c>
      <c r="F432" s="576"/>
      <c r="G432" s="576" t="s">
        <v>634</v>
      </c>
      <c r="H432" s="576" t="s">
        <v>550</v>
      </c>
      <c r="I432" s="576" t="s">
        <v>519</v>
      </c>
      <c r="J432" s="578">
        <v>-28827</v>
      </c>
    </row>
    <row r="433" spans="1:10" ht="14.25" x14ac:dyDescent="0.2">
      <c r="A433" s="576"/>
      <c r="B433" s="577"/>
      <c r="C433" s="576" t="s">
        <v>631</v>
      </c>
      <c r="D433" s="576"/>
      <c r="E433" s="576"/>
      <c r="F433" s="576"/>
      <c r="G433" s="576" t="s">
        <v>634</v>
      </c>
      <c r="H433" s="576" t="s">
        <v>549</v>
      </c>
      <c r="I433" s="576" t="s">
        <v>519</v>
      </c>
      <c r="J433" s="578">
        <v>-13283</v>
      </c>
    </row>
    <row r="434" spans="1:10" ht="14.25" x14ac:dyDescent="0.2">
      <c r="A434" s="576"/>
      <c r="B434" s="577"/>
      <c r="C434" s="576" t="s">
        <v>631</v>
      </c>
      <c r="D434" s="576"/>
      <c r="E434" s="576"/>
      <c r="F434" s="576"/>
      <c r="G434" s="576" t="s">
        <v>634</v>
      </c>
      <c r="H434" s="576" t="s">
        <v>552</v>
      </c>
      <c r="I434" s="576" t="s">
        <v>519</v>
      </c>
      <c r="J434" s="578">
        <v>-25472</v>
      </c>
    </row>
    <row r="435" spans="1:10" ht="14.25" x14ac:dyDescent="0.2">
      <c r="A435" s="576"/>
      <c r="B435" s="577"/>
      <c r="C435" s="576" t="s">
        <v>631</v>
      </c>
      <c r="D435" s="576"/>
      <c r="E435" s="576"/>
      <c r="F435" s="576"/>
      <c r="G435" s="576" t="s">
        <v>634</v>
      </c>
      <c r="H435" s="576" t="s">
        <v>551</v>
      </c>
      <c r="I435" s="576" t="s">
        <v>519</v>
      </c>
      <c r="J435" s="578">
        <v>-50973</v>
      </c>
    </row>
    <row r="436" spans="1:10" s="514" customFormat="1" ht="14.25" x14ac:dyDescent="0.2">
      <c r="A436" s="573"/>
      <c r="B436" s="574"/>
      <c r="C436" s="573" t="s">
        <v>631</v>
      </c>
      <c r="D436" s="573"/>
      <c r="E436" s="573" t="s">
        <v>516</v>
      </c>
      <c r="F436" s="573"/>
      <c r="G436" s="573" t="s">
        <v>634</v>
      </c>
      <c r="H436" s="573"/>
      <c r="I436" s="573"/>
      <c r="J436" s="575">
        <v>-118555</v>
      </c>
    </row>
    <row r="437" spans="1:10" ht="14.25" x14ac:dyDescent="0.2">
      <c r="A437" s="576"/>
      <c r="B437" s="577"/>
      <c r="C437" s="576" t="s">
        <v>631</v>
      </c>
      <c r="D437" s="576"/>
      <c r="E437" s="576" t="s">
        <v>520</v>
      </c>
      <c r="F437" s="576"/>
      <c r="G437" s="576" t="s">
        <v>643</v>
      </c>
      <c r="H437" s="576" t="s">
        <v>550</v>
      </c>
      <c r="I437" s="576" t="s">
        <v>519</v>
      </c>
      <c r="J437" s="578">
        <v>4528</v>
      </c>
    </row>
    <row r="438" spans="1:10" ht="14.25" x14ac:dyDescent="0.2">
      <c r="A438" s="576"/>
      <c r="B438" s="577"/>
      <c r="C438" s="576"/>
      <c r="D438" s="576"/>
      <c r="E438" s="576"/>
      <c r="F438" s="576"/>
      <c r="G438" s="576" t="s">
        <v>643</v>
      </c>
      <c r="H438" s="576" t="s">
        <v>552</v>
      </c>
      <c r="I438" s="576" t="s">
        <v>519</v>
      </c>
      <c r="J438" s="578">
        <v>1132</v>
      </c>
    </row>
    <row r="439" spans="1:10" ht="14.25" x14ac:dyDescent="0.2">
      <c r="A439" s="576"/>
      <c r="B439" s="577"/>
      <c r="C439" s="576"/>
      <c r="D439" s="576"/>
      <c r="E439" s="576"/>
      <c r="F439" s="576"/>
      <c r="G439" s="576" t="s">
        <v>643</v>
      </c>
      <c r="H439" s="576" t="s">
        <v>549</v>
      </c>
      <c r="I439" s="576" t="s">
        <v>519</v>
      </c>
      <c r="J439" s="578">
        <v>2264</v>
      </c>
    </row>
    <row r="440" spans="1:10" ht="14.25" x14ac:dyDescent="0.2">
      <c r="A440" s="576"/>
      <c r="B440" s="577"/>
      <c r="C440" s="576"/>
      <c r="D440" s="576"/>
      <c r="E440" s="576"/>
      <c r="F440" s="576"/>
      <c r="G440" s="576" t="s">
        <v>643</v>
      </c>
      <c r="H440" s="576" t="s">
        <v>551</v>
      </c>
      <c r="I440" s="576" t="s">
        <v>519</v>
      </c>
      <c r="J440" s="578">
        <v>2264</v>
      </c>
    </row>
    <row r="441" spans="1:10" s="514" customFormat="1" ht="14.25" x14ac:dyDescent="0.2">
      <c r="A441" s="573"/>
      <c r="B441" s="574"/>
      <c r="C441" s="573" t="s">
        <v>631</v>
      </c>
      <c r="D441" s="573"/>
      <c r="E441" s="573" t="s">
        <v>520</v>
      </c>
      <c r="F441" s="573"/>
      <c r="G441" s="573" t="s">
        <v>643</v>
      </c>
      <c r="H441" s="573"/>
      <c r="I441" s="573"/>
      <c r="J441" s="575">
        <v>10188</v>
      </c>
    </row>
    <row r="442" spans="1:10" ht="14.25" x14ac:dyDescent="0.2">
      <c r="A442" s="576"/>
      <c r="B442" s="577"/>
      <c r="C442" s="576" t="s">
        <v>631</v>
      </c>
      <c r="D442" s="576"/>
      <c r="E442" s="576" t="s">
        <v>520</v>
      </c>
      <c r="F442" s="576"/>
      <c r="G442" s="576" t="s">
        <v>644</v>
      </c>
      <c r="H442" s="576" t="s">
        <v>550</v>
      </c>
      <c r="I442" s="576" t="s">
        <v>519</v>
      </c>
      <c r="J442" s="578">
        <v>3349</v>
      </c>
    </row>
    <row r="443" spans="1:10" ht="14.25" x14ac:dyDescent="0.2">
      <c r="A443" s="576"/>
      <c r="B443" s="577"/>
      <c r="C443" s="576"/>
      <c r="D443" s="576"/>
      <c r="E443" s="576"/>
      <c r="F443" s="576"/>
      <c r="G443" s="576" t="s">
        <v>644</v>
      </c>
      <c r="H443" s="576" t="s">
        <v>552</v>
      </c>
      <c r="I443" s="576" t="s">
        <v>519</v>
      </c>
      <c r="J443" s="578">
        <v>837</v>
      </c>
    </row>
    <row r="444" spans="1:10" ht="14.25" x14ac:dyDescent="0.2">
      <c r="A444" s="576"/>
      <c r="B444" s="577"/>
      <c r="C444" s="576"/>
      <c r="D444" s="576"/>
      <c r="E444" s="576"/>
      <c r="F444" s="576"/>
      <c r="G444" s="576" t="s">
        <v>644</v>
      </c>
      <c r="H444" s="576" t="s">
        <v>549</v>
      </c>
      <c r="I444" s="576" t="s">
        <v>519</v>
      </c>
      <c r="J444" s="578">
        <v>1674</v>
      </c>
    </row>
    <row r="445" spans="1:10" ht="14.25" x14ac:dyDescent="0.2">
      <c r="A445" s="576"/>
      <c r="B445" s="577"/>
      <c r="C445" s="576"/>
      <c r="D445" s="576"/>
      <c r="E445" s="576"/>
      <c r="F445" s="576"/>
      <c r="G445" s="576" t="s">
        <v>644</v>
      </c>
      <c r="H445" s="576" t="s">
        <v>551</v>
      </c>
      <c r="I445" s="576" t="s">
        <v>519</v>
      </c>
      <c r="J445" s="578">
        <v>1675</v>
      </c>
    </row>
    <row r="446" spans="1:10" s="514" customFormat="1" ht="14.25" x14ac:dyDescent="0.2">
      <c r="A446" s="573"/>
      <c r="B446" s="574"/>
      <c r="C446" s="573" t="s">
        <v>631</v>
      </c>
      <c r="D446" s="573"/>
      <c r="E446" s="573" t="s">
        <v>520</v>
      </c>
      <c r="F446" s="573"/>
      <c r="G446" s="573" t="s">
        <v>644</v>
      </c>
      <c r="H446" s="573"/>
      <c r="I446" s="573"/>
      <c r="J446" s="575">
        <v>7535</v>
      </c>
    </row>
    <row r="447" spans="1:10" ht="14.25" x14ac:dyDescent="0.2">
      <c r="A447" s="576"/>
      <c r="B447" s="577"/>
      <c r="C447" s="576" t="s">
        <v>631</v>
      </c>
      <c r="D447" s="576"/>
      <c r="E447" s="576" t="s">
        <v>520</v>
      </c>
      <c r="F447" s="576"/>
      <c r="G447" s="576" t="s">
        <v>645</v>
      </c>
      <c r="H447" s="576" t="s">
        <v>552</v>
      </c>
      <c r="I447" s="576" t="s">
        <v>519</v>
      </c>
      <c r="J447" s="578">
        <v>1718</v>
      </c>
    </row>
    <row r="448" spans="1:10" ht="14.25" x14ac:dyDescent="0.2">
      <c r="A448" s="576"/>
      <c r="B448" s="577"/>
      <c r="C448" s="576"/>
      <c r="D448" s="576"/>
      <c r="E448" s="576"/>
      <c r="F448" s="576"/>
      <c r="G448" s="576" t="s">
        <v>645</v>
      </c>
      <c r="H448" s="576" t="s">
        <v>551</v>
      </c>
      <c r="I448" s="576" t="s">
        <v>519</v>
      </c>
      <c r="J448" s="578">
        <v>3436</v>
      </c>
    </row>
    <row r="449" spans="1:10" s="514" customFormat="1" ht="14.25" x14ac:dyDescent="0.2">
      <c r="A449" s="573"/>
      <c r="B449" s="574"/>
      <c r="C449" s="573" t="s">
        <v>631</v>
      </c>
      <c r="D449" s="573"/>
      <c r="E449" s="573" t="s">
        <v>520</v>
      </c>
      <c r="F449" s="573"/>
      <c r="G449" s="573" t="s">
        <v>645</v>
      </c>
      <c r="H449" s="573"/>
      <c r="I449" s="573"/>
      <c r="J449" s="575">
        <v>5154</v>
      </c>
    </row>
    <row r="450" spans="1:10" ht="14.25" x14ac:dyDescent="0.2">
      <c r="A450" s="576"/>
      <c r="B450" s="577"/>
      <c r="C450" s="576" t="s">
        <v>631</v>
      </c>
      <c r="D450" s="576"/>
      <c r="E450" s="576" t="s">
        <v>520</v>
      </c>
      <c r="F450" s="576"/>
      <c r="G450" s="576" t="s">
        <v>646</v>
      </c>
      <c r="H450" s="576" t="s">
        <v>550</v>
      </c>
      <c r="I450" s="576" t="s">
        <v>519</v>
      </c>
      <c r="J450" s="578">
        <v>5051</v>
      </c>
    </row>
    <row r="451" spans="1:10" ht="14.25" x14ac:dyDescent="0.2">
      <c r="A451" s="576"/>
      <c r="B451" s="577"/>
      <c r="C451" s="576"/>
      <c r="D451" s="576"/>
      <c r="E451" s="576"/>
      <c r="F451" s="576"/>
      <c r="G451" s="576" t="s">
        <v>646</v>
      </c>
      <c r="H451" s="576" t="s">
        <v>549</v>
      </c>
      <c r="I451" s="576" t="s">
        <v>519</v>
      </c>
      <c r="J451" s="578">
        <v>2934</v>
      </c>
    </row>
    <row r="452" spans="1:10" s="514" customFormat="1" ht="14.25" x14ac:dyDescent="0.2">
      <c r="A452" s="573"/>
      <c r="B452" s="574"/>
      <c r="C452" s="573" t="s">
        <v>631</v>
      </c>
      <c r="D452" s="573"/>
      <c r="E452" s="573" t="s">
        <v>520</v>
      </c>
      <c r="F452" s="573"/>
      <c r="G452" s="573" t="s">
        <v>646</v>
      </c>
      <c r="H452" s="573"/>
      <c r="I452" s="573"/>
      <c r="J452" s="575">
        <v>7985</v>
      </c>
    </row>
    <row r="453" spans="1:10" ht="14.25" x14ac:dyDescent="0.2">
      <c r="A453" s="576"/>
      <c r="B453" s="577"/>
      <c r="C453" s="576" t="s">
        <v>631</v>
      </c>
      <c r="D453" s="576"/>
      <c r="E453" s="576" t="s">
        <v>520</v>
      </c>
      <c r="F453" s="576"/>
      <c r="G453" s="576" t="s">
        <v>647</v>
      </c>
      <c r="H453" s="576" t="s">
        <v>550</v>
      </c>
      <c r="I453" s="576" t="s">
        <v>519</v>
      </c>
      <c r="J453" s="578">
        <v>3929</v>
      </c>
    </row>
    <row r="454" spans="1:10" ht="14.25" x14ac:dyDescent="0.2">
      <c r="A454" s="576"/>
      <c r="B454" s="577"/>
      <c r="C454" s="576"/>
      <c r="D454" s="576"/>
      <c r="E454" s="576"/>
      <c r="F454" s="576"/>
      <c r="G454" s="576" t="s">
        <v>647</v>
      </c>
      <c r="H454" s="576" t="s">
        <v>552</v>
      </c>
      <c r="I454" s="576" t="s">
        <v>519</v>
      </c>
      <c r="J454" s="578">
        <v>1310</v>
      </c>
    </row>
    <row r="455" spans="1:10" ht="14.25" x14ac:dyDescent="0.2">
      <c r="A455" s="576"/>
      <c r="B455" s="577"/>
      <c r="C455" s="576"/>
      <c r="D455" s="576"/>
      <c r="E455" s="576"/>
      <c r="F455" s="576"/>
      <c r="G455" s="576" t="s">
        <v>647</v>
      </c>
      <c r="H455" s="576" t="s">
        <v>551</v>
      </c>
      <c r="I455" s="576" t="s">
        <v>519</v>
      </c>
      <c r="J455" s="578">
        <v>2620</v>
      </c>
    </row>
    <row r="456" spans="1:10" s="514" customFormat="1" ht="14.25" x14ac:dyDescent="0.2">
      <c r="A456" s="573"/>
      <c r="B456" s="574"/>
      <c r="C456" s="573" t="s">
        <v>631</v>
      </c>
      <c r="D456" s="573"/>
      <c r="E456" s="573" t="s">
        <v>520</v>
      </c>
      <c r="F456" s="573"/>
      <c r="G456" s="573" t="s">
        <v>647</v>
      </c>
      <c r="H456" s="573"/>
      <c r="I456" s="573"/>
      <c r="J456" s="575">
        <v>7859</v>
      </c>
    </row>
    <row r="457" spans="1:10" ht="14.25" x14ac:dyDescent="0.2">
      <c r="A457" s="576"/>
      <c r="B457" s="577"/>
      <c r="C457" s="576" t="s">
        <v>631</v>
      </c>
      <c r="D457" s="576"/>
      <c r="E457" s="576" t="s">
        <v>520</v>
      </c>
      <c r="F457" s="576"/>
      <c r="G457" s="576" t="s">
        <v>648</v>
      </c>
      <c r="H457" s="576" t="s">
        <v>552</v>
      </c>
      <c r="I457" s="576" t="s">
        <v>519</v>
      </c>
      <c r="J457" s="578">
        <v>763</v>
      </c>
    </row>
    <row r="458" spans="1:10" ht="14.25" x14ac:dyDescent="0.2">
      <c r="A458" s="576"/>
      <c r="B458" s="577"/>
      <c r="C458" s="576"/>
      <c r="D458" s="576"/>
      <c r="E458" s="576"/>
      <c r="F458" s="576"/>
      <c r="G458" s="576" t="s">
        <v>648</v>
      </c>
      <c r="H458" s="576" t="s">
        <v>551</v>
      </c>
      <c r="I458" s="576" t="s">
        <v>519</v>
      </c>
      <c r="J458" s="578">
        <v>1525</v>
      </c>
    </row>
    <row r="459" spans="1:10" s="514" customFormat="1" ht="14.25" x14ac:dyDescent="0.2">
      <c r="A459" s="573"/>
      <c r="B459" s="574"/>
      <c r="C459" s="573" t="s">
        <v>631</v>
      </c>
      <c r="D459" s="573"/>
      <c r="E459" s="573" t="s">
        <v>520</v>
      </c>
      <c r="F459" s="573"/>
      <c r="G459" s="573" t="s">
        <v>648</v>
      </c>
      <c r="H459" s="573"/>
      <c r="I459" s="573"/>
      <c r="J459" s="575">
        <v>2288</v>
      </c>
    </row>
    <row r="460" spans="1:10" ht="14.25" x14ac:dyDescent="0.2">
      <c r="A460" s="576"/>
      <c r="B460" s="577"/>
      <c r="C460" s="576" t="s">
        <v>631</v>
      </c>
      <c r="D460" s="576"/>
      <c r="E460" s="576" t="s">
        <v>520</v>
      </c>
      <c r="F460" s="576"/>
      <c r="G460" s="576" t="s">
        <v>649</v>
      </c>
      <c r="H460" s="576" t="s">
        <v>552</v>
      </c>
      <c r="I460" s="576" t="s">
        <v>519</v>
      </c>
      <c r="J460" s="578">
        <v>2259</v>
      </c>
    </row>
    <row r="461" spans="1:10" ht="14.25" x14ac:dyDescent="0.2">
      <c r="A461" s="576"/>
      <c r="B461" s="577"/>
      <c r="C461" s="576"/>
      <c r="D461" s="576"/>
      <c r="E461" s="576"/>
      <c r="F461" s="576"/>
      <c r="G461" s="576" t="s">
        <v>649</v>
      </c>
      <c r="H461" s="576" t="s">
        <v>551</v>
      </c>
      <c r="I461" s="576" t="s">
        <v>519</v>
      </c>
      <c r="J461" s="578">
        <v>4553</v>
      </c>
    </row>
    <row r="462" spans="1:10" s="514" customFormat="1" ht="14.25" x14ac:dyDescent="0.2">
      <c r="A462" s="573"/>
      <c r="B462" s="574"/>
      <c r="C462" s="573" t="s">
        <v>631</v>
      </c>
      <c r="D462" s="573"/>
      <c r="E462" s="573" t="s">
        <v>520</v>
      </c>
      <c r="F462" s="573"/>
      <c r="G462" s="573" t="s">
        <v>649</v>
      </c>
      <c r="H462" s="573"/>
      <c r="I462" s="573"/>
      <c r="J462" s="575">
        <v>6812</v>
      </c>
    </row>
    <row r="463" spans="1:10" ht="14.25" x14ac:dyDescent="0.2">
      <c r="A463" s="576"/>
      <c r="B463" s="577"/>
      <c r="C463" s="576" t="s">
        <v>631</v>
      </c>
      <c r="D463" s="576"/>
      <c r="E463" s="576" t="s">
        <v>520</v>
      </c>
      <c r="F463" s="576"/>
      <c r="G463" s="576" t="s">
        <v>650</v>
      </c>
      <c r="H463" s="576" t="s">
        <v>552</v>
      </c>
      <c r="I463" s="576" t="s">
        <v>519</v>
      </c>
      <c r="J463" s="578">
        <v>1438</v>
      </c>
    </row>
    <row r="464" spans="1:10" ht="14.25" x14ac:dyDescent="0.2">
      <c r="A464" s="576"/>
      <c r="B464" s="577"/>
      <c r="C464" s="576"/>
      <c r="D464" s="576"/>
      <c r="E464" s="576"/>
      <c r="F464" s="576"/>
      <c r="G464" s="576" t="s">
        <v>650</v>
      </c>
      <c r="H464" s="576" t="s">
        <v>551</v>
      </c>
      <c r="I464" s="576" t="s">
        <v>519</v>
      </c>
      <c r="J464" s="578">
        <v>2876</v>
      </c>
    </row>
    <row r="465" spans="1:10" s="514" customFormat="1" ht="14.25" x14ac:dyDescent="0.2">
      <c r="A465" s="573"/>
      <c r="B465" s="574"/>
      <c r="C465" s="573" t="s">
        <v>631</v>
      </c>
      <c r="D465" s="573"/>
      <c r="E465" s="573" t="s">
        <v>520</v>
      </c>
      <c r="F465" s="573"/>
      <c r="G465" s="573" t="s">
        <v>650</v>
      </c>
      <c r="H465" s="573"/>
      <c r="I465" s="573"/>
      <c r="J465" s="575">
        <v>4314</v>
      </c>
    </row>
    <row r="466" spans="1:10" ht="14.25" x14ac:dyDescent="0.2">
      <c r="A466" s="576"/>
      <c r="B466" s="577"/>
      <c r="C466" s="576" t="s">
        <v>631</v>
      </c>
      <c r="D466" s="576"/>
      <c r="E466" s="576" t="s">
        <v>520</v>
      </c>
      <c r="F466" s="576"/>
      <c r="G466" s="576" t="s">
        <v>651</v>
      </c>
      <c r="H466" s="576" t="s">
        <v>552</v>
      </c>
      <c r="I466" s="576" t="s">
        <v>519</v>
      </c>
      <c r="J466" s="578">
        <v>750</v>
      </c>
    </row>
    <row r="467" spans="1:10" ht="14.25" x14ac:dyDescent="0.2">
      <c r="A467" s="576"/>
      <c r="B467" s="577"/>
      <c r="C467" s="576"/>
      <c r="D467" s="576"/>
      <c r="E467" s="576"/>
      <c r="F467" s="576"/>
      <c r="G467" s="576" t="s">
        <v>651</v>
      </c>
      <c r="H467" s="576" t="s">
        <v>551</v>
      </c>
      <c r="I467" s="576" t="s">
        <v>519</v>
      </c>
      <c r="J467" s="578">
        <v>1500</v>
      </c>
    </row>
    <row r="468" spans="1:10" s="514" customFormat="1" ht="14.25" x14ac:dyDescent="0.2">
      <c r="A468" s="573"/>
      <c r="B468" s="574"/>
      <c r="C468" s="573" t="s">
        <v>631</v>
      </c>
      <c r="D468" s="573"/>
      <c r="E468" s="573" t="s">
        <v>520</v>
      </c>
      <c r="F468" s="573"/>
      <c r="G468" s="573" t="s">
        <v>651</v>
      </c>
      <c r="H468" s="573"/>
      <c r="I468" s="573"/>
      <c r="J468" s="575">
        <v>2250</v>
      </c>
    </row>
    <row r="469" spans="1:10" s="579" customFormat="1" ht="14.25" x14ac:dyDescent="0.2">
      <c r="A469" s="576"/>
      <c r="B469" s="577"/>
      <c r="C469" s="576" t="s">
        <v>631</v>
      </c>
      <c r="D469" s="576"/>
      <c r="E469" s="576" t="s">
        <v>520</v>
      </c>
      <c r="F469" s="576"/>
      <c r="G469" s="576" t="s">
        <v>652</v>
      </c>
      <c r="H469" s="576" t="s">
        <v>550</v>
      </c>
      <c r="I469" s="576" t="s">
        <v>519</v>
      </c>
      <c r="J469" s="578">
        <v>11970</v>
      </c>
    </row>
    <row r="470" spans="1:10" s="579" customFormat="1" ht="14.25" x14ac:dyDescent="0.2">
      <c r="A470" s="576"/>
      <c r="B470" s="577"/>
      <c r="C470" s="576"/>
      <c r="D470" s="576"/>
      <c r="E470" s="576"/>
      <c r="F470" s="576"/>
      <c r="G470" s="576" t="s">
        <v>652</v>
      </c>
      <c r="H470" s="576" t="s">
        <v>552</v>
      </c>
      <c r="I470" s="576" t="s">
        <v>519</v>
      </c>
      <c r="J470" s="578">
        <v>1490</v>
      </c>
    </row>
    <row r="471" spans="1:10" s="579" customFormat="1" ht="14.25" x14ac:dyDescent="0.2">
      <c r="A471" s="576"/>
      <c r="B471" s="577"/>
      <c r="C471" s="576"/>
      <c r="D471" s="576"/>
      <c r="E471" s="576"/>
      <c r="F471" s="576"/>
      <c r="G471" s="576" t="s">
        <v>652</v>
      </c>
      <c r="H471" s="576" t="s">
        <v>549</v>
      </c>
      <c r="I471" s="576" t="s">
        <v>519</v>
      </c>
      <c r="J471" s="578">
        <v>6410</v>
      </c>
    </row>
    <row r="472" spans="1:10" s="579" customFormat="1" ht="14.25" x14ac:dyDescent="0.2">
      <c r="A472" s="576"/>
      <c r="B472" s="577"/>
      <c r="C472" s="576"/>
      <c r="D472" s="576"/>
      <c r="E472" s="576"/>
      <c r="F472" s="576"/>
      <c r="G472" s="576" t="s">
        <v>652</v>
      </c>
      <c r="H472" s="576" t="s">
        <v>551</v>
      </c>
      <c r="I472" s="576" t="s">
        <v>519</v>
      </c>
      <c r="J472" s="578">
        <v>2979</v>
      </c>
    </row>
    <row r="473" spans="1:10" s="514" customFormat="1" ht="14.25" x14ac:dyDescent="0.2">
      <c r="A473" s="573"/>
      <c r="B473" s="574"/>
      <c r="C473" s="573" t="s">
        <v>631</v>
      </c>
      <c r="D473" s="573"/>
      <c r="E473" s="573" t="s">
        <v>520</v>
      </c>
      <c r="F473" s="573"/>
      <c r="G473" s="573" t="s">
        <v>652</v>
      </c>
      <c r="H473" s="573"/>
      <c r="I473" s="573"/>
      <c r="J473" s="575">
        <v>22849</v>
      </c>
    </row>
    <row r="474" spans="1:10" ht="14.25" x14ac:dyDescent="0.2">
      <c r="A474" s="576"/>
      <c r="B474" s="577"/>
      <c r="C474" s="576" t="s">
        <v>631</v>
      </c>
      <c r="D474" s="576"/>
      <c r="E474" s="576" t="s">
        <v>520</v>
      </c>
      <c r="F474" s="576"/>
      <c r="G474" s="576" t="s">
        <v>653</v>
      </c>
      <c r="H474" s="576" t="s">
        <v>552</v>
      </c>
      <c r="I474" s="576" t="s">
        <v>519</v>
      </c>
      <c r="J474" s="578">
        <v>1590</v>
      </c>
    </row>
    <row r="475" spans="1:10" ht="14.25" x14ac:dyDescent="0.2">
      <c r="A475" s="576"/>
      <c r="B475" s="577"/>
      <c r="C475" s="576"/>
      <c r="D475" s="576"/>
      <c r="E475" s="576"/>
      <c r="F475" s="576"/>
      <c r="G475" s="576" t="s">
        <v>653</v>
      </c>
      <c r="H475" s="576" t="s">
        <v>551</v>
      </c>
      <c r="I475" s="576" t="s">
        <v>519</v>
      </c>
      <c r="J475" s="578">
        <v>3180</v>
      </c>
    </row>
    <row r="476" spans="1:10" s="514" customFormat="1" ht="14.25" x14ac:dyDescent="0.2">
      <c r="A476" s="573"/>
      <c r="B476" s="574"/>
      <c r="C476" s="573" t="s">
        <v>631</v>
      </c>
      <c r="D476" s="573"/>
      <c r="E476" s="573" t="s">
        <v>520</v>
      </c>
      <c r="F476" s="573"/>
      <c r="G476" s="573" t="s">
        <v>653</v>
      </c>
      <c r="H476" s="573"/>
      <c r="I476" s="573"/>
      <c r="J476" s="575">
        <v>4770</v>
      </c>
    </row>
    <row r="477" spans="1:10" ht="14.25" x14ac:dyDescent="0.2">
      <c r="A477" s="576"/>
      <c r="B477" s="577"/>
      <c r="C477" s="576" t="s">
        <v>631</v>
      </c>
      <c r="D477" s="576"/>
      <c r="E477" s="576" t="s">
        <v>520</v>
      </c>
      <c r="F477" s="576"/>
      <c r="G477" s="576" t="s">
        <v>654</v>
      </c>
      <c r="H477" s="576" t="s">
        <v>552</v>
      </c>
      <c r="I477" s="576" t="s">
        <v>519</v>
      </c>
      <c r="J477" s="578">
        <v>733</v>
      </c>
    </row>
    <row r="478" spans="1:10" ht="14.25" x14ac:dyDescent="0.2">
      <c r="A478" s="576"/>
      <c r="B478" s="577"/>
      <c r="C478" s="576"/>
      <c r="D478" s="576"/>
      <c r="E478" s="576"/>
      <c r="F478" s="576"/>
      <c r="G478" s="576" t="s">
        <v>654</v>
      </c>
      <c r="H478" s="576" t="s">
        <v>551</v>
      </c>
      <c r="I478" s="576" t="s">
        <v>519</v>
      </c>
      <c r="J478" s="578">
        <v>1466</v>
      </c>
    </row>
    <row r="479" spans="1:10" s="514" customFormat="1" ht="14.25" x14ac:dyDescent="0.2">
      <c r="A479" s="573"/>
      <c r="B479" s="574"/>
      <c r="C479" s="573" t="s">
        <v>631</v>
      </c>
      <c r="D479" s="573"/>
      <c r="E479" s="573" t="s">
        <v>520</v>
      </c>
      <c r="F479" s="573"/>
      <c r="G479" s="573" t="s">
        <v>654</v>
      </c>
      <c r="H479" s="573"/>
      <c r="I479" s="573"/>
      <c r="J479" s="575">
        <v>2199</v>
      </c>
    </row>
    <row r="480" spans="1:10" ht="14.25" x14ac:dyDescent="0.2">
      <c r="A480" s="576"/>
      <c r="B480" s="577"/>
      <c r="C480" s="576" t="s">
        <v>631</v>
      </c>
      <c r="D480" s="576"/>
      <c r="E480" s="576" t="s">
        <v>520</v>
      </c>
      <c r="F480" s="576"/>
      <c r="G480" s="576" t="s">
        <v>655</v>
      </c>
      <c r="H480" s="576" t="s">
        <v>552</v>
      </c>
      <c r="I480" s="576" t="s">
        <v>519</v>
      </c>
      <c r="J480" s="578">
        <v>831</v>
      </c>
    </row>
    <row r="481" spans="1:10" ht="14.25" x14ac:dyDescent="0.2">
      <c r="A481" s="576"/>
      <c r="B481" s="577"/>
      <c r="C481" s="576"/>
      <c r="D481" s="576"/>
      <c r="E481" s="576"/>
      <c r="F481" s="576"/>
      <c r="G481" s="576" t="s">
        <v>655</v>
      </c>
      <c r="H481" s="576" t="s">
        <v>551</v>
      </c>
      <c r="I481" s="576" t="s">
        <v>519</v>
      </c>
      <c r="J481" s="578">
        <v>1661</v>
      </c>
    </row>
    <row r="482" spans="1:10" s="514" customFormat="1" ht="14.25" x14ac:dyDescent="0.2">
      <c r="A482" s="573"/>
      <c r="B482" s="574"/>
      <c r="C482" s="573" t="s">
        <v>631</v>
      </c>
      <c r="D482" s="573"/>
      <c r="E482" s="573" t="s">
        <v>520</v>
      </c>
      <c r="F482" s="573"/>
      <c r="G482" s="573" t="s">
        <v>655</v>
      </c>
      <c r="H482" s="573"/>
      <c r="I482" s="573"/>
      <c r="J482" s="575">
        <v>2492</v>
      </c>
    </row>
    <row r="483" spans="1:10" ht="14.25" x14ac:dyDescent="0.2">
      <c r="A483" s="576"/>
      <c r="B483" s="577"/>
      <c r="C483" s="576" t="s">
        <v>631</v>
      </c>
      <c r="D483" s="576"/>
      <c r="E483" s="576" t="s">
        <v>520</v>
      </c>
      <c r="F483" s="576"/>
      <c r="G483" s="576" t="s">
        <v>635</v>
      </c>
      <c r="H483" s="576" t="s">
        <v>552</v>
      </c>
      <c r="I483" s="576" t="s">
        <v>519</v>
      </c>
      <c r="J483" s="578">
        <v>6797</v>
      </c>
    </row>
    <row r="484" spans="1:10" ht="14.25" x14ac:dyDescent="0.2">
      <c r="A484" s="576"/>
      <c r="B484" s="577"/>
      <c r="C484" s="576"/>
      <c r="D484" s="576"/>
      <c r="E484" s="576"/>
      <c r="F484" s="576"/>
      <c r="G484" s="576" t="s">
        <v>635</v>
      </c>
      <c r="H484" s="576" t="s">
        <v>551</v>
      </c>
      <c r="I484" s="576" t="s">
        <v>519</v>
      </c>
      <c r="J484" s="578">
        <v>13592</v>
      </c>
    </row>
    <row r="485" spans="1:10" s="514" customFormat="1" ht="14.25" x14ac:dyDescent="0.2">
      <c r="A485" s="573"/>
      <c r="B485" s="574"/>
      <c r="C485" s="573" t="s">
        <v>631</v>
      </c>
      <c r="D485" s="573"/>
      <c r="E485" s="573" t="s">
        <v>520</v>
      </c>
      <c r="F485" s="573"/>
      <c r="G485" s="573" t="s">
        <v>635</v>
      </c>
      <c r="H485" s="573"/>
      <c r="I485" s="573"/>
      <c r="J485" s="575">
        <v>20389</v>
      </c>
    </row>
    <row r="486" spans="1:10" s="546" customFormat="1" ht="15" x14ac:dyDescent="0.25">
      <c r="A486" s="510" t="s">
        <v>656</v>
      </c>
      <c r="B486" s="580"/>
      <c r="C486" s="581">
        <v>132</v>
      </c>
      <c r="D486" s="581"/>
      <c r="E486" s="581"/>
      <c r="F486" s="581"/>
      <c r="G486" s="581"/>
      <c r="H486" s="581"/>
      <c r="I486" s="581"/>
      <c r="J486" s="582">
        <f>SUM(J419+J422+J425+J428+J431+J441+J446+J449+J452+J456+J459+J462+J465+J468+J473+J476+J479+J482+J485+J436)</f>
        <v>0</v>
      </c>
    </row>
    <row r="487" spans="1:10" x14ac:dyDescent="0.2">
      <c r="A487" s="583"/>
      <c r="B487" s="583"/>
      <c r="C487" s="583"/>
      <c r="D487" s="583"/>
      <c r="E487" s="583"/>
      <c r="F487" s="583"/>
      <c r="G487" s="583"/>
      <c r="H487" s="583"/>
      <c r="I487" s="583"/>
      <c r="J487" s="584"/>
    </row>
    <row r="488" spans="1:10" ht="14.25" x14ac:dyDescent="0.2">
      <c r="A488" s="570" t="s">
        <v>643</v>
      </c>
      <c r="B488" s="571">
        <v>41836</v>
      </c>
      <c r="C488" s="570" t="s">
        <v>631</v>
      </c>
      <c r="D488" s="570" t="s">
        <v>657</v>
      </c>
      <c r="E488" s="570" t="s">
        <v>516</v>
      </c>
      <c r="F488" s="508" t="s">
        <v>517</v>
      </c>
      <c r="G488" s="570" t="s">
        <v>634</v>
      </c>
      <c r="H488" s="570" t="s">
        <v>529</v>
      </c>
      <c r="I488" s="570" t="s">
        <v>519</v>
      </c>
      <c r="J488" s="572">
        <v>-38711</v>
      </c>
    </row>
    <row r="489" spans="1:10" ht="14.25" x14ac:dyDescent="0.2">
      <c r="A489" s="570"/>
      <c r="B489" s="571"/>
      <c r="C489" s="570" t="s">
        <v>631</v>
      </c>
      <c r="D489" s="570"/>
      <c r="E489" s="570" t="s">
        <v>520</v>
      </c>
      <c r="F489" s="508" t="s">
        <v>521</v>
      </c>
      <c r="G489" s="570" t="s">
        <v>634</v>
      </c>
      <c r="H489" s="570" t="s">
        <v>531</v>
      </c>
      <c r="I489" s="570" t="s">
        <v>519</v>
      </c>
      <c r="J489" s="572">
        <v>549</v>
      </c>
    </row>
    <row r="490" spans="1:10" ht="14.25" x14ac:dyDescent="0.2">
      <c r="A490" s="570"/>
      <c r="B490" s="571"/>
      <c r="C490" s="570" t="s">
        <v>631</v>
      </c>
      <c r="D490" s="570"/>
      <c r="E490" s="570" t="s">
        <v>520</v>
      </c>
      <c r="F490" s="570"/>
      <c r="G490" s="570" t="s">
        <v>634</v>
      </c>
      <c r="H490" s="570" t="s">
        <v>530</v>
      </c>
      <c r="I490" s="570" t="s">
        <v>519</v>
      </c>
      <c r="J490" s="572">
        <v>3162</v>
      </c>
    </row>
    <row r="491" spans="1:10" ht="14.25" x14ac:dyDescent="0.2">
      <c r="A491" s="570"/>
      <c r="B491" s="571"/>
      <c r="C491" s="570" t="s">
        <v>631</v>
      </c>
      <c r="D491" s="570"/>
      <c r="E491" s="570" t="s">
        <v>520</v>
      </c>
      <c r="F491" s="570"/>
      <c r="G491" s="570" t="s">
        <v>634</v>
      </c>
      <c r="H491" s="570" t="s">
        <v>658</v>
      </c>
      <c r="I491" s="570" t="s">
        <v>519</v>
      </c>
      <c r="J491" s="572">
        <v>35000</v>
      </c>
    </row>
    <row r="492" spans="1:10" s="568" customFormat="1" ht="15.75" thickBot="1" x14ac:dyDescent="0.3">
      <c r="A492" s="532" t="s">
        <v>659</v>
      </c>
      <c r="B492" s="585"/>
      <c r="C492" s="586" t="s">
        <v>631</v>
      </c>
      <c r="D492" s="586"/>
      <c r="E492" s="586"/>
      <c r="F492" s="586"/>
      <c r="G492" s="586" t="s">
        <v>634</v>
      </c>
      <c r="H492" s="586"/>
      <c r="I492" s="586"/>
      <c r="J492" s="587">
        <v>0</v>
      </c>
    </row>
    <row r="493" spans="1:10" ht="13.5" thickTop="1" x14ac:dyDescent="0.2">
      <c r="A493" s="588"/>
      <c r="B493" s="588"/>
      <c r="C493" s="588"/>
      <c r="D493" s="588"/>
      <c r="E493" s="588"/>
      <c r="F493" s="588"/>
      <c r="G493" s="588"/>
      <c r="H493" s="588"/>
      <c r="I493" s="588"/>
      <c r="J493" s="589"/>
    </row>
    <row r="494" spans="1:10" ht="14.25" x14ac:dyDescent="0.2">
      <c r="A494" s="506">
        <v>292</v>
      </c>
      <c r="B494" s="520">
        <v>41852</v>
      </c>
      <c r="C494" s="506">
        <v>132</v>
      </c>
      <c r="D494" s="506" t="s">
        <v>660</v>
      </c>
      <c r="E494" s="506" t="s">
        <v>516</v>
      </c>
      <c r="F494" s="590" t="s">
        <v>517</v>
      </c>
      <c r="G494" s="506">
        <v>260</v>
      </c>
      <c r="H494" s="506" t="s">
        <v>617</v>
      </c>
      <c r="I494" s="506" t="s">
        <v>519</v>
      </c>
      <c r="J494" s="534">
        <v>-159</v>
      </c>
    </row>
    <row r="495" spans="1:10" ht="14.25" x14ac:dyDescent="0.2">
      <c r="A495" s="506"/>
      <c r="B495" s="520"/>
      <c r="C495" s="506">
        <v>132</v>
      </c>
      <c r="D495" s="506"/>
      <c r="E495" s="506" t="s">
        <v>520</v>
      </c>
      <c r="F495" s="590" t="s">
        <v>521</v>
      </c>
      <c r="G495" s="506">
        <v>260</v>
      </c>
      <c r="H495" s="506" t="s">
        <v>570</v>
      </c>
      <c r="I495" s="506" t="s">
        <v>519</v>
      </c>
      <c r="J495" s="534">
        <v>159</v>
      </c>
    </row>
    <row r="496" spans="1:10" ht="15" x14ac:dyDescent="0.25">
      <c r="A496" s="510" t="s">
        <v>661</v>
      </c>
      <c r="B496" s="591"/>
      <c r="C496" s="550">
        <v>132</v>
      </c>
      <c r="D496" s="550"/>
      <c r="E496" s="550"/>
      <c r="F496" s="550"/>
      <c r="G496" s="550">
        <v>260</v>
      </c>
      <c r="H496" s="550"/>
      <c r="I496" s="550"/>
      <c r="J496" s="552">
        <v>0</v>
      </c>
    </row>
    <row r="497" spans="1:10" x14ac:dyDescent="0.2">
      <c r="A497" s="583"/>
      <c r="B497" s="583"/>
      <c r="C497" s="583"/>
      <c r="D497" s="583"/>
      <c r="E497" s="583"/>
      <c r="F497" s="583"/>
      <c r="G497" s="583"/>
      <c r="H497" s="583"/>
      <c r="I497" s="583"/>
      <c r="J497" s="584"/>
    </row>
    <row r="498" spans="1:10" ht="14.25" x14ac:dyDescent="0.2">
      <c r="A498" s="506">
        <v>313</v>
      </c>
      <c r="B498" s="520">
        <v>41870</v>
      </c>
      <c r="C498" s="506">
        <v>132</v>
      </c>
      <c r="D498" s="506" t="s">
        <v>662</v>
      </c>
      <c r="E498" s="506" t="s">
        <v>516</v>
      </c>
      <c r="F498" s="590" t="s">
        <v>517</v>
      </c>
      <c r="G498" s="506">
        <v>31</v>
      </c>
      <c r="H498" s="506" t="s">
        <v>529</v>
      </c>
      <c r="I498" s="506" t="s">
        <v>519</v>
      </c>
      <c r="J498" s="592">
        <v>-35000</v>
      </c>
    </row>
    <row r="499" spans="1:10" ht="14.25" x14ac:dyDescent="0.2">
      <c r="A499" s="506"/>
      <c r="B499" s="520"/>
      <c r="C499" s="506">
        <v>132</v>
      </c>
      <c r="D499" s="506"/>
      <c r="E499" s="506" t="s">
        <v>520</v>
      </c>
      <c r="F499" s="590" t="s">
        <v>521</v>
      </c>
      <c r="G499" s="506">
        <v>31</v>
      </c>
      <c r="H499" s="506" t="s">
        <v>614</v>
      </c>
      <c r="I499" s="506" t="s">
        <v>519</v>
      </c>
      <c r="J499" s="592">
        <v>25000</v>
      </c>
    </row>
    <row r="500" spans="1:10" ht="14.25" x14ac:dyDescent="0.2">
      <c r="A500" s="506"/>
      <c r="B500" s="520"/>
      <c r="C500" s="506">
        <v>132</v>
      </c>
      <c r="D500" s="506"/>
      <c r="E500" s="506" t="s">
        <v>520</v>
      </c>
      <c r="F500" s="506"/>
      <c r="G500" s="506">
        <v>31</v>
      </c>
      <c r="H500" s="506" t="s">
        <v>663</v>
      </c>
      <c r="I500" s="506" t="s">
        <v>519</v>
      </c>
      <c r="J500" s="592">
        <v>10000</v>
      </c>
    </row>
    <row r="501" spans="1:10" s="546" customFormat="1" ht="15" x14ac:dyDescent="0.25">
      <c r="A501" s="510" t="s">
        <v>664</v>
      </c>
      <c r="B501" s="550"/>
      <c r="C501" s="550">
        <v>132</v>
      </c>
      <c r="D501" s="550"/>
      <c r="E501" s="550"/>
      <c r="F501" s="550"/>
      <c r="G501" s="550">
        <v>31</v>
      </c>
      <c r="H501" s="550"/>
      <c r="I501" s="550"/>
      <c r="J501" s="593">
        <v>0</v>
      </c>
    </row>
    <row r="502" spans="1:10" x14ac:dyDescent="0.2">
      <c r="A502" s="583"/>
      <c r="B502" s="583"/>
      <c r="C502" s="583"/>
      <c r="D502" s="583"/>
      <c r="E502" s="583"/>
      <c r="F502" s="583"/>
      <c r="G502" s="583"/>
      <c r="H502" s="583"/>
      <c r="I502" s="583"/>
      <c r="J502" s="584"/>
    </row>
    <row r="503" spans="1:10" ht="14.25" x14ac:dyDescent="0.2">
      <c r="A503" s="506">
        <v>317</v>
      </c>
      <c r="B503" s="520">
        <v>41872</v>
      </c>
      <c r="C503" s="506">
        <v>132</v>
      </c>
      <c r="D503" s="506" t="s">
        <v>665</v>
      </c>
      <c r="E503" s="506" t="s">
        <v>520</v>
      </c>
      <c r="F503" s="590" t="s">
        <v>517</v>
      </c>
      <c r="G503" s="506">
        <v>260</v>
      </c>
      <c r="H503" s="506" t="s">
        <v>555</v>
      </c>
      <c r="I503" s="506" t="s">
        <v>519</v>
      </c>
      <c r="J503" s="534">
        <v>536</v>
      </c>
    </row>
    <row r="504" spans="1:10" ht="14.25" x14ac:dyDescent="0.2">
      <c r="A504" s="506"/>
      <c r="B504" s="520"/>
      <c r="C504" s="506">
        <v>132</v>
      </c>
      <c r="D504" s="506"/>
      <c r="E504" s="506" t="s">
        <v>516</v>
      </c>
      <c r="F504" s="590" t="s">
        <v>521</v>
      </c>
      <c r="G504" s="506">
        <v>260</v>
      </c>
      <c r="H504" s="506" t="s">
        <v>569</v>
      </c>
      <c r="I504" s="506" t="s">
        <v>519</v>
      </c>
      <c r="J504" s="534">
        <v>-536</v>
      </c>
    </row>
    <row r="505" spans="1:10" s="546" customFormat="1" ht="15" x14ac:dyDescent="0.25">
      <c r="A505" s="537"/>
      <c r="B505" s="537"/>
      <c r="C505" s="537">
        <v>132</v>
      </c>
      <c r="D505" s="537"/>
      <c r="E505" s="537"/>
      <c r="F505" s="537"/>
      <c r="G505" s="537">
        <v>260</v>
      </c>
      <c r="H505" s="537"/>
      <c r="I505" s="537"/>
      <c r="J505" s="538">
        <v>0</v>
      </c>
    </row>
    <row r="506" spans="1:10" ht="14.25" x14ac:dyDescent="0.2">
      <c r="A506" s="594"/>
      <c r="B506" s="595"/>
      <c r="C506" s="506">
        <v>132</v>
      </c>
      <c r="D506" s="506"/>
      <c r="E506" s="506" t="s">
        <v>520</v>
      </c>
      <c r="F506" s="596"/>
      <c r="G506" s="506">
        <v>120</v>
      </c>
      <c r="H506" s="506" t="s">
        <v>560</v>
      </c>
      <c r="I506" s="506" t="s">
        <v>519</v>
      </c>
      <c r="J506" s="534">
        <v>1500</v>
      </c>
    </row>
    <row r="507" spans="1:10" ht="14.25" x14ac:dyDescent="0.2">
      <c r="A507" s="594"/>
      <c r="B507" s="595"/>
      <c r="C507" s="506">
        <v>132</v>
      </c>
      <c r="D507" s="506"/>
      <c r="E507" s="506" t="s">
        <v>516</v>
      </c>
      <c r="F507" s="596"/>
      <c r="G507" s="506">
        <v>120</v>
      </c>
      <c r="H507" s="506" t="s">
        <v>609</v>
      </c>
      <c r="I507" s="506" t="s">
        <v>519</v>
      </c>
      <c r="J507" s="534">
        <v>-1500</v>
      </c>
    </row>
    <row r="508" spans="1:10" s="546" customFormat="1" ht="15" x14ac:dyDescent="0.25">
      <c r="A508" s="597"/>
      <c r="B508" s="598"/>
      <c r="C508" s="537">
        <v>132</v>
      </c>
      <c r="D508" s="537"/>
      <c r="E508" s="537"/>
      <c r="F508" s="598"/>
      <c r="G508" s="537">
        <v>120</v>
      </c>
      <c r="H508" s="537"/>
      <c r="I508" s="537"/>
      <c r="J508" s="538">
        <v>0</v>
      </c>
    </row>
    <row r="509" spans="1:10" ht="14.25" x14ac:dyDescent="0.2">
      <c r="A509" s="594"/>
      <c r="B509" s="595"/>
      <c r="C509" s="506">
        <v>132</v>
      </c>
      <c r="D509" s="506"/>
      <c r="E509" s="506" t="s">
        <v>520</v>
      </c>
      <c r="F509" s="596"/>
      <c r="G509" s="506">
        <v>20</v>
      </c>
      <c r="H509" s="506" t="s">
        <v>569</v>
      </c>
      <c r="I509" s="506" t="s">
        <v>519</v>
      </c>
      <c r="J509" s="534">
        <v>1575</v>
      </c>
    </row>
    <row r="510" spans="1:10" ht="14.25" x14ac:dyDescent="0.2">
      <c r="A510" s="594"/>
      <c r="B510" s="595"/>
      <c r="C510" s="506">
        <v>132</v>
      </c>
      <c r="D510" s="506"/>
      <c r="E510" s="506" t="s">
        <v>516</v>
      </c>
      <c r="F510" s="596"/>
      <c r="G510" s="506">
        <v>20</v>
      </c>
      <c r="H510" s="506" t="s">
        <v>560</v>
      </c>
      <c r="I510" s="506" t="s">
        <v>519</v>
      </c>
      <c r="J510" s="534">
        <v>-1575</v>
      </c>
    </row>
    <row r="511" spans="1:10" s="546" customFormat="1" ht="15" x14ac:dyDescent="0.25">
      <c r="A511" s="510" t="s">
        <v>666</v>
      </c>
      <c r="B511" s="599"/>
      <c r="C511" s="550">
        <v>132</v>
      </c>
      <c r="D511" s="550"/>
      <c r="E511" s="550"/>
      <c r="F511" s="599"/>
      <c r="G511" s="550">
        <v>20</v>
      </c>
      <c r="H511" s="550"/>
      <c r="I511" s="550"/>
      <c r="J511" s="551">
        <v>0</v>
      </c>
    </row>
    <row r="512" spans="1:10" x14ac:dyDescent="0.2">
      <c r="A512" s="583"/>
      <c r="B512" s="583"/>
      <c r="C512" s="583"/>
      <c r="D512" s="583"/>
      <c r="E512" s="583"/>
      <c r="F512" s="583"/>
      <c r="G512" s="583"/>
      <c r="H512" s="583"/>
      <c r="I512" s="583"/>
      <c r="J512" s="584"/>
    </row>
    <row r="513" spans="1:10" ht="14.25" x14ac:dyDescent="0.2">
      <c r="A513" s="506">
        <v>318</v>
      </c>
      <c r="B513" s="520">
        <v>41872</v>
      </c>
      <c r="C513" s="506">
        <v>132</v>
      </c>
      <c r="D513" s="506" t="s">
        <v>667</v>
      </c>
      <c r="E513" s="506" t="s">
        <v>516</v>
      </c>
      <c r="F513" s="590" t="s">
        <v>517</v>
      </c>
      <c r="G513" s="506">
        <v>31</v>
      </c>
      <c r="H513" s="506" t="s">
        <v>538</v>
      </c>
      <c r="I513" s="506" t="s">
        <v>519</v>
      </c>
      <c r="J513" s="534">
        <v>-27065</v>
      </c>
    </row>
    <row r="514" spans="1:10" ht="14.25" x14ac:dyDescent="0.2">
      <c r="A514" s="506"/>
      <c r="B514" s="520"/>
      <c r="C514" s="506">
        <v>132</v>
      </c>
      <c r="D514" s="506"/>
      <c r="E514" s="506" t="s">
        <v>516</v>
      </c>
      <c r="F514" s="590" t="s">
        <v>521</v>
      </c>
      <c r="G514" s="506">
        <v>31</v>
      </c>
      <c r="H514" s="506" t="s">
        <v>537</v>
      </c>
      <c r="I514" s="506" t="s">
        <v>519</v>
      </c>
      <c r="J514" s="534">
        <v>-10283</v>
      </c>
    </row>
    <row r="515" spans="1:10" s="514" customFormat="1" ht="14.25" x14ac:dyDescent="0.2">
      <c r="A515" s="522"/>
      <c r="B515" s="522"/>
      <c r="C515" s="522">
        <v>132</v>
      </c>
      <c r="D515" s="522"/>
      <c r="E515" s="522"/>
      <c r="F515" s="522"/>
      <c r="G515" s="522">
        <v>31</v>
      </c>
      <c r="H515" s="522"/>
      <c r="I515" s="522"/>
      <c r="J515" s="536">
        <v>-37348</v>
      </c>
    </row>
    <row r="516" spans="1:10" ht="14.25" x14ac:dyDescent="0.2">
      <c r="A516" s="506"/>
      <c r="B516" s="520"/>
      <c r="C516" s="506">
        <v>132</v>
      </c>
      <c r="D516" s="506"/>
      <c r="E516" s="506" t="s">
        <v>520</v>
      </c>
      <c r="F516" s="506"/>
      <c r="G516" s="506">
        <v>200</v>
      </c>
      <c r="H516" s="506" t="s">
        <v>536</v>
      </c>
      <c r="I516" s="506" t="s">
        <v>519</v>
      </c>
      <c r="J516" s="534">
        <v>7575</v>
      </c>
    </row>
    <row r="517" spans="1:10" ht="14.25" x14ac:dyDescent="0.2">
      <c r="A517" s="506"/>
      <c r="B517" s="520"/>
      <c r="C517" s="506">
        <v>132</v>
      </c>
      <c r="D517" s="506"/>
      <c r="E517" s="506" t="s">
        <v>520</v>
      </c>
      <c r="F517" s="506"/>
      <c r="G517" s="506">
        <v>200</v>
      </c>
      <c r="H517" s="506" t="s">
        <v>537</v>
      </c>
      <c r="I517" s="506" t="s">
        <v>519</v>
      </c>
      <c r="J517" s="534">
        <v>2878</v>
      </c>
    </row>
    <row r="518" spans="1:10" s="514" customFormat="1" ht="14.25" x14ac:dyDescent="0.2">
      <c r="A518" s="522"/>
      <c r="B518" s="522"/>
      <c r="C518" s="522">
        <v>132</v>
      </c>
      <c r="D518" s="522"/>
      <c r="E518" s="522"/>
      <c r="F518" s="522"/>
      <c r="G518" s="522">
        <v>200</v>
      </c>
      <c r="H518" s="522"/>
      <c r="I518" s="522"/>
      <c r="J518" s="536">
        <v>10453</v>
      </c>
    </row>
    <row r="519" spans="1:10" ht="14.25" x14ac:dyDescent="0.2">
      <c r="A519" s="506"/>
      <c r="B519" s="520"/>
      <c r="C519" s="506">
        <v>132</v>
      </c>
      <c r="D519" s="506"/>
      <c r="E519" s="506" t="s">
        <v>520</v>
      </c>
      <c r="F519" s="506"/>
      <c r="G519" s="506">
        <v>180</v>
      </c>
      <c r="H519" s="506" t="s">
        <v>536</v>
      </c>
      <c r="I519" s="506" t="s">
        <v>519</v>
      </c>
      <c r="J519" s="534">
        <v>3890</v>
      </c>
    </row>
    <row r="520" spans="1:10" ht="14.25" x14ac:dyDescent="0.2">
      <c r="A520" s="506"/>
      <c r="B520" s="520"/>
      <c r="C520" s="506">
        <v>132</v>
      </c>
      <c r="D520" s="506"/>
      <c r="E520" s="506" t="s">
        <v>520</v>
      </c>
      <c r="F520" s="506"/>
      <c r="G520" s="506">
        <v>180</v>
      </c>
      <c r="H520" s="506" t="s">
        <v>537</v>
      </c>
      <c r="I520" s="506" t="s">
        <v>519</v>
      </c>
      <c r="J520" s="534">
        <v>1478</v>
      </c>
    </row>
    <row r="521" spans="1:10" s="514" customFormat="1" ht="14.25" x14ac:dyDescent="0.2">
      <c r="A521" s="522"/>
      <c r="B521" s="522"/>
      <c r="C521" s="522">
        <v>132</v>
      </c>
      <c r="D521" s="522"/>
      <c r="E521" s="522"/>
      <c r="F521" s="522"/>
      <c r="G521" s="522">
        <v>180</v>
      </c>
      <c r="H521" s="522"/>
      <c r="I521" s="522"/>
      <c r="J521" s="536">
        <v>5368</v>
      </c>
    </row>
    <row r="522" spans="1:10" ht="14.25" x14ac:dyDescent="0.2">
      <c r="A522" s="506"/>
      <c r="B522" s="520"/>
      <c r="C522" s="506">
        <v>132</v>
      </c>
      <c r="D522" s="506"/>
      <c r="E522" s="506" t="s">
        <v>520</v>
      </c>
      <c r="F522" s="506"/>
      <c r="G522" s="506">
        <v>170</v>
      </c>
      <c r="H522" s="506" t="s">
        <v>536</v>
      </c>
      <c r="I522" s="506" t="s">
        <v>519</v>
      </c>
      <c r="J522" s="534">
        <v>3835</v>
      </c>
    </row>
    <row r="523" spans="1:10" ht="14.25" x14ac:dyDescent="0.2">
      <c r="A523" s="506"/>
      <c r="B523" s="520"/>
      <c r="C523" s="506">
        <v>132</v>
      </c>
      <c r="D523" s="506"/>
      <c r="E523" s="506" t="s">
        <v>520</v>
      </c>
      <c r="F523" s="506"/>
      <c r="G523" s="506">
        <v>170</v>
      </c>
      <c r="H523" s="506" t="s">
        <v>537</v>
      </c>
      <c r="I523" s="506" t="s">
        <v>519</v>
      </c>
      <c r="J523" s="534">
        <v>1457</v>
      </c>
    </row>
    <row r="524" spans="1:10" s="514" customFormat="1" ht="14.25" x14ac:dyDescent="0.2">
      <c r="A524" s="522"/>
      <c r="B524" s="522"/>
      <c r="C524" s="522">
        <v>132</v>
      </c>
      <c r="D524" s="522"/>
      <c r="E524" s="522"/>
      <c r="F524" s="522"/>
      <c r="G524" s="522">
        <v>170</v>
      </c>
      <c r="H524" s="522"/>
      <c r="I524" s="522"/>
      <c r="J524" s="536">
        <v>5292</v>
      </c>
    </row>
    <row r="525" spans="1:10" ht="14.25" x14ac:dyDescent="0.2">
      <c r="A525" s="506"/>
      <c r="B525" s="520"/>
      <c r="C525" s="506">
        <v>132</v>
      </c>
      <c r="D525" s="506"/>
      <c r="E525" s="506" t="s">
        <v>520</v>
      </c>
      <c r="F525" s="506"/>
      <c r="G525" s="506">
        <v>150</v>
      </c>
      <c r="H525" s="506" t="s">
        <v>536</v>
      </c>
      <c r="I525" s="506" t="s">
        <v>519</v>
      </c>
      <c r="J525" s="534">
        <v>7720</v>
      </c>
    </row>
    <row r="526" spans="1:10" ht="14.25" x14ac:dyDescent="0.2">
      <c r="A526" s="506"/>
      <c r="B526" s="520"/>
      <c r="C526" s="506">
        <v>132</v>
      </c>
      <c r="D526" s="506"/>
      <c r="E526" s="506" t="s">
        <v>520</v>
      </c>
      <c r="F526" s="506"/>
      <c r="G526" s="506">
        <v>150</v>
      </c>
      <c r="H526" s="506" t="s">
        <v>537</v>
      </c>
      <c r="I526" s="506" t="s">
        <v>519</v>
      </c>
      <c r="J526" s="534">
        <v>2933</v>
      </c>
    </row>
    <row r="527" spans="1:10" s="514" customFormat="1" ht="14.25" x14ac:dyDescent="0.2">
      <c r="A527" s="522"/>
      <c r="B527" s="522"/>
      <c r="C527" s="522">
        <v>132</v>
      </c>
      <c r="D527" s="522"/>
      <c r="E527" s="522"/>
      <c r="F527" s="522"/>
      <c r="G527" s="522">
        <v>150</v>
      </c>
      <c r="H527" s="522"/>
      <c r="I527" s="522"/>
      <c r="J527" s="536">
        <v>10653</v>
      </c>
    </row>
    <row r="528" spans="1:10" ht="14.25" x14ac:dyDescent="0.2">
      <c r="A528" s="506"/>
      <c r="B528" s="520"/>
      <c r="C528" s="506">
        <v>132</v>
      </c>
      <c r="D528" s="506"/>
      <c r="E528" s="506" t="s">
        <v>520</v>
      </c>
      <c r="F528" s="506"/>
      <c r="G528" s="506">
        <v>100</v>
      </c>
      <c r="H528" s="506" t="s">
        <v>536</v>
      </c>
      <c r="I528" s="506" t="s">
        <v>519</v>
      </c>
      <c r="J528" s="534">
        <v>4045</v>
      </c>
    </row>
    <row r="529" spans="1:10" ht="14.25" x14ac:dyDescent="0.2">
      <c r="A529" s="506"/>
      <c r="B529" s="520"/>
      <c r="C529" s="506">
        <v>132</v>
      </c>
      <c r="D529" s="506"/>
      <c r="E529" s="506" t="s">
        <v>520</v>
      </c>
      <c r="F529" s="506"/>
      <c r="G529" s="506">
        <v>100</v>
      </c>
      <c r="H529" s="506" t="s">
        <v>537</v>
      </c>
      <c r="I529" s="506" t="s">
        <v>519</v>
      </c>
      <c r="J529" s="534">
        <v>1537</v>
      </c>
    </row>
    <row r="530" spans="1:10" s="514" customFormat="1" ht="14.25" x14ac:dyDescent="0.2">
      <c r="A530" s="522"/>
      <c r="B530" s="522"/>
      <c r="C530" s="522">
        <v>132</v>
      </c>
      <c r="D530" s="522"/>
      <c r="E530" s="522"/>
      <c r="F530" s="522"/>
      <c r="G530" s="522">
        <v>100</v>
      </c>
      <c r="H530" s="522"/>
      <c r="I530" s="522"/>
      <c r="J530" s="536">
        <v>5582</v>
      </c>
    </row>
    <row r="531" spans="1:10" s="600" customFormat="1" ht="15" x14ac:dyDescent="0.25">
      <c r="A531" s="510" t="s">
        <v>668</v>
      </c>
      <c r="B531" s="550"/>
      <c r="C531" s="550">
        <v>132</v>
      </c>
      <c r="D531" s="550"/>
      <c r="E531" s="550"/>
      <c r="F531" s="550"/>
      <c r="G531" s="550"/>
      <c r="H531" s="550"/>
      <c r="I531" s="550"/>
      <c r="J531" s="552">
        <f>SUM(J515+J518+J521+J524+J527+J530)</f>
        <v>0</v>
      </c>
    </row>
    <row r="532" spans="1:10" x14ac:dyDescent="0.2">
      <c r="A532" s="569"/>
      <c r="B532" s="569"/>
      <c r="C532" s="569"/>
      <c r="D532" s="569"/>
      <c r="E532" s="569"/>
      <c r="F532" s="569"/>
      <c r="G532" s="569"/>
      <c r="H532" s="569"/>
      <c r="I532" s="569"/>
      <c r="J532" s="601"/>
    </row>
    <row r="533" spans="1:10" ht="14.25" x14ac:dyDescent="0.2">
      <c r="A533" s="506">
        <v>328</v>
      </c>
      <c r="B533" s="520">
        <v>41879</v>
      </c>
      <c r="C533" s="506">
        <v>132</v>
      </c>
      <c r="D533" s="506" t="s">
        <v>669</v>
      </c>
      <c r="E533" s="506" t="s">
        <v>516</v>
      </c>
      <c r="F533" s="590" t="s">
        <v>517</v>
      </c>
      <c r="G533" s="506">
        <v>290</v>
      </c>
      <c r="H533" s="506" t="s">
        <v>569</v>
      </c>
      <c r="I533" s="506" t="s">
        <v>519</v>
      </c>
      <c r="J533" s="534">
        <v>-1482</v>
      </c>
    </row>
    <row r="534" spans="1:10" ht="14.25" x14ac:dyDescent="0.2">
      <c r="A534" s="506"/>
      <c r="B534" s="520"/>
      <c r="C534" s="506">
        <v>132</v>
      </c>
      <c r="D534" s="506"/>
      <c r="E534" s="506" t="s">
        <v>520</v>
      </c>
      <c r="F534" s="590" t="s">
        <v>521</v>
      </c>
      <c r="G534" s="506">
        <v>290</v>
      </c>
      <c r="H534" s="506" t="s">
        <v>560</v>
      </c>
      <c r="I534" s="506" t="s">
        <v>519</v>
      </c>
      <c r="J534" s="534">
        <v>1482</v>
      </c>
    </row>
    <row r="535" spans="1:10" ht="15.75" thickBot="1" x14ac:dyDescent="0.3">
      <c r="A535" s="515" t="s">
        <v>670</v>
      </c>
      <c r="B535" s="602"/>
      <c r="C535" s="603">
        <v>132</v>
      </c>
      <c r="D535" s="603"/>
      <c r="E535" s="603"/>
      <c r="F535" s="603"/>
      <c r="G535" s="603">
        <v>290</v>
      </c>
      <c r="H535" s="603"/>
      <c r="I535" s="603"/>
      <c r="J535" s="604">
        <v>0</v>
      </c>
    </row>
    <row r="536" spans="1:10" ht="13.5" thickTop="1" x14ac:dyDescent="0.2">
      <c r="A536" s="519"/>
      <c r="B536" s="519"/>
      <c r="C536" s="519"/>
      <c r="D536" s="519"/>
      <c r="E536" s="519"/>
      <c r="F536" s="519"/>
      <c r="G536" s="519"/>
      <c r="H536" s="519"/>
      <c r="I536" s="519"/>
      <c r="J536" s="605"/>
    </row>
    <row r="537" spans="1:10" ht="14.25" x14ac:dyDescent="0.2">
      <c r="A537" s="506">
        <v>365</v>
      </c>
      <c r="B537" s="520">
        <v>41887</v>
      </c>
      <c r="C537" s="506">
        <v>132</v>
      </c>
      <c r="D537" s="506" t="s">
        <v>671</v>
      </c>
      <c r="E537" s="506" t="s">
        <v>516</v>
      </c>
      <c r="F537" s="590" t="s">
        <v>517</v>
      </c>
      <c r="G537" s="506">
        <v>35</v>
      </c>
      <c r="H537" s="506" t="s">
        <v>604</v>
      </c>
      <c r="I537" s="506" t="s">
        <v>519</v>
      </c>
      <c r="J537" s="534">
        <v>-965</v>
      </c>
    </row>
    <row r="538" spans="1:10" ht="14.25" x14ac:dyDescent="0.2">
      <c r="A538" s="506"/>
      <c r="B538" s="520"/>
      <c r="C538" s="506">
        <v>132</v>
      </c>
      <c r="D538" s="506"/>
      <c r="E538" s="506" t="s">
        <v>520</v>
      </c>
      <c r="F538" s="590" t="s">
        <v>521</v>
      </c>
      <c r="G538" s="506">
        <v>35</v>
      </c>
      <c r="H538" s="506" t="s">
        <v>672</v>
      </c>
      <c r="I538" s="506" t="s">
        <v>519</v>
      </c>
      <c r="J538" s="534">
        <v>965</v>
      </c>
    </row>
    <row r="539" spans="1:10" ht="15.75" thickBot="1" x14ac:dyDescent="0.3">
      <c r="A539" s="532" t="s">
        <v>673</v>
      </c>
      <c r="B539" s="506"/>
      <c r="C539" s="537">
        <v>132</v>
      </c>
      <c r="D539" s="537"/>
      <c r="E539" s="537"/>
      <c r="F539" s="537"/>
      <c r="G539" s="537">
        <v>35</v>
      </c>
      <c r="H539" s="537"/>
      <c r="I539" s="537"/>
      <c r="J539" s="538">
        <v>0</v>
      </c>
    </row>
    <row r="540" spans="1:10" ht="13.5" thickTop="1" x14ac:dyDescent="0.2">
      <c r="A540" s="533"/>
      <c r="B540" s="533"/>
      <c r="C540" s="533"/>
      <c r="D540" s="533"/>
      <c r="E540" s="533"/>
      <c r="F540" s="533"/>
      <c r="G540" s="533"/>
      <c r="H540" s="533"/>
      <c r="I540" s="533"/>
      <c r="J540" s="533"/>
    </row>
    <row r="541" spans="1:10" ht="14.25" x14ac:dyDescent="0.2">
      <c r="A541" s="506">
        <v>451</v>
      </c>
      <c r="B541" s="520">
        <v>41927</v>
      </c>
      <c r="C541" s="506">
        <v>132</v>
      </c>
      <c r="D541" s="506" t="s">
        <v>674</v>
      </c>
      <c r="E541" s="506" t="s">
        <v>516</v>
      </c>
      <c r="F541" s="590" t="s">
        <v>517</v>
      </c>
      <c r="G541" s="506">
        <v>43</v>
      </c>
      <c r="H541" s="506" t="s">
        <v>560</v>
      </c>
      <c r="I541" s="506" t="s">
        <v>519</v>
      </c>
      <c r="J541" s="525">
        <v>-1555</v>
      </c>
    </row>
    <row r="542" spans="1:10" ht="14.25" x14ac:dyDescent="0.2">
      <c r="A542" s="506"/>
      <c r="B542" s="520"/>
      <c r="C542" s="506">
        <v>132</v>
      </c>
      <c r="D542" s="506"/>
      <c r="E542" s="506" t="s">
        <v>516</v>
      </c>
      <c r="F542" s="590" t="s">
        <v>521</v>
      </c>
      <c r="G542" s="506">
        <v>43</v>
      </c>
      <c r="H542" s="506" t="s">
        <v>571</v>
      </c>
      <c r="I542" s="506" t="s">
        <v>519</v>
      </c>
      <c r="J542" s="525">
        <v>-2628</v>
      </c>
    </row>
    <row r="543" spans="1:10" ht="14.25" x14ac:dyDescent="0.2">
      <c r="A543" s="506"/>
      <c r="B543" s="520"/>
      <c r="C543" s="506">
        <v>132</v>
      </c>
      <c r="D543" s="506"/>
      <c r="E543" s="506" t="s">
        <v>520</v>
      </c>
      <c r="F543" s="506"/>
      <c r="G543" s="506">
        <v>43</v>
      </c>
      <c r="H543" s="506" t="s">
        <v>675</v>
      </c>
      <c r="I543" s="506" t="s">
        <v>519</v>
      </c>
      <c r="J543" s="525">
        <v>1728</v>
      </c>
    </row>
    <row r="544" spans="1:10" ht="14.25" x14ac:dyDescent="0.2">
      <c r="A544" s="506"/>
      <c r="B544" s="520"/>
      <c r="C544" s="506">
        <v>132</v>
      </c>
      <c r="D544" s="506"/>
      <c r="E544" s="506" t="s">
        <v>520</v>
      </c>
      <c r="F544" s="506"/>
      <c r="G544" s="506">
        <v>43</v>
      </c>
      <c r="H544" s="506" t="s">
        <v>676</v>
      </c>
      <c r="I544" s="506" t="s">
        <v>519</v>
      </c>
      <c r="J544" s="525">
        <v>900</v>
      </c>
    </row>
    <row r="545" spans="1:10" s="514" customFormat="1" ht="14.25" x14ac:dyDescent="0.2">
      <c r="A545" s="522"/>
      <c r="B545" s="522"/>
      <c r="C545" s="522">
        <v>132</v>
      </c>
      <c r="D545" s="522"/>
      <c r="E545" s="522"/>
      <c r="F545" s="522"/>
      <c r="G545" s="522">
        <v>43</v>
      </c>
      <c r="H545" s="522"/>
      <c r="I545" s="522"/>
      <c r="J545" s="531">
        <v>-1555</v>
      </c>
    </row>
    <row r="546" spans="1:10" ht="14.25" x14ac:dyDescent="0.2">
      <c r="A546" s="506"/>
      <c r="B546" s="520"/>
      <c r="C546" s="506">
        <v>132</v>
      </c>
      <c r="D546" s="506"/>
      <c r="E546" s="506" t="s">
        <v>520</v>
      </c>
      <c r="F546" s="506"/>
      <c r="G546" s="506">
        <v>320</v>
      </c>
      <c r="H546" s="506" t="s">
        <v>570</v>
      </c>
      <c r="I546" s="506" t="s">
        <v>519</v>
      </c>
      <c r="J546" s="525">
        <v>634</v>
      </c>
    </row>
    <row r="547" spans="1:10" ht="14.25" x14ac:dyDescent="0.2">
      <c r="A547" s="506"/>
      <c r="B547" s="520"/>
      <c r="C547" s="506">
        <v>132</v>
      </c>
      <c r="D547" s="506"/>
      <c r="E547" s="506" t="s">
        <v>516</v>
      </c>
      <c r="F547" s="506"/>
      <c r="G547" s="506">
        <v>320</v>
      </c>
      <c r="H547" s="506" t="s">
        <v>561</v>
      </c>
      <c r="I547" s="506" t="s">
        <v>519</v>
      </c>
      <c r="J547" s="525">
        <v>-200</v>
      </c>
    </row>
    <row r="548" spans="1:10" ht="14.25" x14ac:dyDescent="0.2">
      <c r="A548" s="506"/>
      <c r="B548" s="520"/>
      <c r="C548" s="506">
        <v>132</v>
      </c>
      <c r="D548" s="506"/>
      <c r="E548" s="506" t="s">
        <v>516</v>
      </c>
      <c r="F548" s="506"/>
      <c r="G548" s="506">
        <v>320</v>
      </c>
      <c r="H548" s="506" t="s">
        <v>560</v>
      </c>
      <c r="I548" s="506" t="s">
        <v>519</v>
      </c>
      <c r="J548" s="525">
        <v>-434</v>
      </c>
    </row>
    <row r="549" spans="1:10" s="514" customFormat="1" ht="14.25" x14ac:dyDescent="0.2">
      <c r="A549" s="522"/>
      <c r="B549" s="522"/>
      <c r="C549" s="522">
        <v>132</v>
      </c>
      <c r="D549" s="522"/>
      <c r="E549" s="522"/>
      <c r="F549" s="522"/>
      <c r="G549" s="522">
        <v>320</v>
      </c>
      <c r="H549" s="522"/>
      <c r="I549" s="522"/>
      <c r="J549" s="531">
        <v>0</v>
      </c>
    </row>
    <row r="550" spans="1:10" ht="14.25" x14ac:dyDescent="0.2">
      <c r="A550" s="506"/>
      <c r="B550" s="520"/>
      <c r="C550" s="506">
        <v>132</v>
      </c>
      <c r="D550" s="506"/>
      <c r="E550" s="506" t="s">
        <v>520</v>
      </c>
      <c r="F550" s="506"/>
      <c r="G550" s="506">
        <v>270</v>
      </c>
      <c r="H550" s="506" t="s">
        <v>570</v>
      </c>
      <c r="I550" s="506" t="s">
        <v>519</v>
      </c>
      <c r="J550" s="525">
        <v>555</v>
      </c>
    </row>
    <row r="551" spans="1:10" s="514" customFormat="1" ht="14.25" x14ac:dyDescent="0.2">
      <c r="A551" s="522"/>
      <c r="B551" s="522"/>
      <c r="C551" s="522">
        <v>132</v>
      </c>
      <c r="D551" s="522"/>
      <c r="E551" s="522"/>
      <c r="F551" s="522"/>
      <c r="G551" s="522">
        <v>270</v>
      </c>
      <c r="H551" s="522"/>
      <c r="I551" s="522"/>
      <c r="J551" s="531">
        <v>555</v>
      </c>
    </row>
    <row r="552" spans="1:10" ht="14.25" x14ac:dyDescent="0.2">
      <c r="A552" s="506"/>
      <c r="B552" s="520"/>
      <c r="C552" s="506">
        <v>132</v>
      </c>
      <c r="D552" s="506"/>
      <c r="E552" s="506" t="s">
        <v>516</v>
      </c>
      <c r="F552" s="506"/>
      <c r="G552" s="506">
        <v>250</v>
      </c>
      <c r="H552" s="506" t="s">
        <v>560</v>
      </c>
      <c r="I552" s="506" t="s">
        <v>519</v>
      </c>
      <c r="J552" s="525">
        <v>-150</v>
      </c>
    </row>
    <row r="553" spans="1:10" ht="14.25" x14ac:dyDescent="0.2">
      <c r="A553" s="506"/>
      <c r="B553" s="520"/>
      <c r="C553" s="506">
        <v>132</v>
      </c>
      <c r="D553" s="506"/>
      <c r="E553" s="506" t="s">
        <v>520</v>
      </c>
      <c r="F553" s="506"/>
      <c r="G553" s="506">
        <v>250</v>
      </c>
      <c r="H553" s="506" t="s">
        <v>570</v>
      </c>
      <c r="I553" s="506" t="s">
        <v>519</v>
      </c>
      <c r="J553" s="525">
        <v>150</v>
      </c>
    </row>
    <row r="554" spans="1:10" s="514" customFormat="1" ht="14.25" x14ac:dyDescent="0.2">
      <c r="A554" s="522"/>
      <c r="B554" s="522"/>
      <c r="C554" s="522">
        <v>132</v>
      </c>
      <c r="D554" s="522"/>
      <c r="E554" s="522"/>
      <c r="F554" s="522"/>
      <c r="G554" s="522">
        <v>250</v>
      </c>
      <c r="H554" s="522"/>
      <c r="I554" s="522"/>
      <c r="J554" s="531">
        <v>0</v>
      </c>
    </row>
    <row r="555" spans="1:10" ht="14.25" x14ac:dyDescent="0.2">
      <c r="A555" s="506"/>
      <c r="B555" s="520"/>
      <c r="C555" s="506">
        <v>132</v>
      </c>
      <c r="D555" s="506"/>
      <c r="E555" s="506" t="s">
        <v>520</v>
      </c>
      <c r="F555" s="506"/>
      <c r="G555" s="506">
        <v>190</v>
      </c>
      <c r="H555" s="506" t="s">
        <v>560</v>
      </c>
      <c r="I555" s="506" t="s">
        <v>519</v>
      </c>
      <c r="J555" s="525">
        <v>1000</v>
      </c>
    </row>
    <row r="556" spans="1:10" s="514" customFormat="1" ht="14.25" x14ac:dyDescent="0.2">
      <c r="A556" s="522"/>
      <c r="B556" s="522"/>
      <c r="C556" s="522">
        <v>132</v>
      </c>
      <c r="D556" s="522"/>
      <c r="E556" s="522"/>
      <c r="F556" s="522"/>
      <c r="G556" s="522">
        <v>190</v>
      </c>
      <c r="H556" s="522"/>
      <c r="I556" s="522"/>
      <c r="J556" s="531">
        <v>1000</v>
      </c>
    </row>
    <row r="557" spans="1:10" ht="14.25" x14ac:dyDescent="0.2">
      <c r="A557" s="506"/>
      <c r="B557" s="520"/>
      <c r="C557" s="506">
        <v>132</v>
      </c>
      <c r="D557" s="506"/>
      <c r="E557" s="506" t="s">
        <v>520</v>
      </c>
      <c r="F557" s="506"/>
      <c r="G557" s="506">
        <v>20</v>
      </c>
      <c r="H557" s="506" t="s">
        <v>570</v>
      </c>
      <c r="I557" s="506" t="s">
        <v>519</v>
      </c>
      <c r="J557" s="525">
        <v>4764</v>
      </c>
    </row>
    <row r="558" spans="1:10" ht="14.25" x14ac:dyDescent="0.2">
      <c r="A558" s="506"/>
      <c r="B558" s="520"/>
      <c r="C558" s="506">
        <v>132</v>
      </c>
      <c r="D558" s="506"/>
      <c r="E558" s="506" t="s">
        <v>516</v>
      </c>
      <c r="F558" s="506"/>
      <c r="G558" s="506">
        <v>20</v>
      </c>
      <c r="H558" s="506" t="s">
        <v>522</v>
      </c>
      <c r="I558" s="506" t="s">
        <v>519</v>
      </c>
      <c r="J558" s="525">
        <v>-4764</v>
      </c>
    </row>
    <row r="559" spans="1:10" s="514" customFormat="1" ht="14.25" x14ac:dyDescent="0.2">
      <c r="A559" s="510" t="s">
        <v>677</v>
      </c>
      <c r="B559" s="512"/>
      <c r="C559" s="512">
        <v>132</v>
      </c>
      <c r="D559" s="512"/>
      <c r="E559" s="512"/>
      <c r="F559" s="512"/>
      <c r="G559" s="512">
        <v>20</v>
      </c>
      <c r="H559" s="512"/>
      <c r="I559" s="512"/>
      <c r="J559" s="527">
        <v>0</v>
      </c>
    </row>
    <row r="560" spans="1:10" x14ac:dyDescent="0.2">
      <c r="A560" s="569"/>
      <c r="B560" s="569"/>
      <c r="C560" s="569"/>
      <c r="D560" s="569"/>
      <c r="E560" s="569"/>
      <c r="F560" s="569"/>
      <c r="G560" s="569"/>
      <c r="H560" s="569"/>
      <c r="I560" s="569"/>
      <c r="J560" s="601"/>
    </row>
    <row r="561" spans="1:10" ht="14.25" x14ac:dyDescent="0.2">
      <c r="A561" s="506">
        <v>461</v>
      </c>
      <c r="B561" s="520">
        <v>41928</v>
      </c>
      <c r="C561" s="506">
        <v>132</v>
      </c>
      <c r="D561" s="506" t="s">
        <v>678</v>
      </c>
      <c r="E561" s="506" t="s">
        <v>520</v>
      </c>
      <c r="F561" s="590" t="s">
        <v>517</v>
      </c>
      <c r="G561" s="506">
        <v>390</v>
      </c>
      <c r="H561" s="506" t="s">
        <v>617</v>
      </c>
      <c r="I561" s="506" t="s">
        <v>519</v>
      </c>
      <c r="J561" s="525">
        <v>4265</v>
      </c>
    </row>
    <row r="562" spans="1:10" s="514" customFormat="1" ht="14.25" x14ac:dyDescent="0.2">
      <c r="A562" s="522"/>
      <c r="B562" s="522"/>
      <c r="C562" s="522">
        <v>132</v>
      </c>
      <c r="D562" s="522"/>
      <c r="E562" s="522"/>
      <c r="F562" s="590" t="s">
        <v>521</v>
      </c>
      <c r="G562" s="522">
        <v>390</v>
      </c>
      <c r="H562" s="522"/>
      <c r="I562" s="522"/>
      <c r="J562" s="531">
        <v>4265</v>
      </c>
    </row>
    <row r="563" spans="1:10" ht="14.25" x14ac:dyDescent="0.2">
      <c r="A563" s="506"/>
      <c r="B563" s="520"/>
      <c r="C563" s="506">
        <v>132</v>
      </c>
      <c r="D563" s="506"/>
      <c r="E563" s="506" t="s">
        <v>520</v>
      </c>
      <c r="F563" s="506"/>
      <c r="G563" s="506">
        <v>380</v>
      </c>
      <c r="H563" s="506" t="s">
        <v>617</v>
      </c>
      <c r="I563" s="506" t="s">
        <v>519</v>
      </c>
      <c r="J563" s="525">
        <v>3000</v>
      </c>
    </row>
    <row r="564" spans="1:10" s="514" customFormat="1" ht="14.25" x14ac:dyDescent="0.2">
      <c r="A564" s="522"/>
      <c r="B564" s="522"/>
      <c r="C564" s="522">
        <v>132</v>
      </c>
      <c r="D564" s="522"/>
      <c r="E564" s="522"/>
      <c r="F564" s="522"/>
      <c r="G564" s="522">
        <v>380</v>
      </c>
      <c r="H564" s="522"/>
      <c r="I564" s="522"/>
      <c r="J564" s="531">
        <v>3000</v>
      </c>
    </row>
    <row r="565" spans="1:10" ht="14.25" x14ac:dyDescent="0.2">
      <c r="A565" s="506"/>
      <c r="B565" s="520"/>
      <c r="C565" s="506">
        <v>132</v>
      </c>
      <c r="D565" s="506"/>
      <c r="E565" s="506" t="s">
        <v>516</v>
      </c>
      <c r="F565" s="506"/>
      <c r="G565" s="506">
        <v>370</v>
      </c>
      <c r="H565" s="506" t="s">
        <v>617</v>
      </c>
      <c r="I565" s="506" t="s">
        <v>519</v>
      </c>
      <c r="J565" s="525">
        <v>-12400</v>
      </c>
    </row>
    <row r="566" spans="1:10" s="514" customFormat="1" ht="14.25" x14ac:dyDescent="0.2">
      <c r="A566" s="522"/>
      <c r="B566" s="522"/>
      <c r="C566" s="522">
        <v>132</v>
      </c>
      <c r="D566" s="522"/>
      <c r="E566" s="522"/>
      <c r="F566" s="522"/>
      <c r="G566" s="522">
        <v>370</v>
      </c>
      <c r="H566" s="522"/>
      <c r="I566" s="522"/>
      <c r="J566" s="531">
        <v>-12400</v>
      </c>
    </row>
    <row r="567" spans="1:10" ht="14.25" x14ac:dyDescent="0.2">
      <c r="A567" s="506"/>
      <c r="B567" s="520"/>
      <c r="C567" s="506">
        <v>132</v>
      </c>
      <c r="D567" s="506"/>
      <c r="E567" s="506" t="s">
        <v>516</v>
      </c>
      <c r="F567" s="506"/>
      <c r="G567" s="506">
        <v>360</v>
      </c>
      <c r="H567" s="506" t="s">
        <v>617</v>
      </c>
      <c r="I567" s="506" t="s">
        <v>519</v>
      </c>
      <c r="J567" s="525">
        <v>-1182</v>
      </c>
    </row>
    <row r="568" spans="1:10" s="514" customFormat="1" ht="14.25" x14ac:dyDescent="0.2">
      <c r="A568" s="522"/>
      <c r="B568" s="522"/>
      <c r="C568" s="522">
        <v>132</v>
      </c>
      <c r="D568" s="522"/>
      <c r="E568" s="522"/>
      <c r="F568" s="522"/>
      <c r="G568" s="522">
        <v>360</v>
      </c>
      <c r="H568" s="522"/>
      <c r="I568" s="522"/>
      <c r="J568" s="531">
        <v>-1182</v>
      </c>
    </row>
    <row r="569" spans="1:10" ht="14.25" x14ac:dyDescent="0.2">
      <c r="A569" s="506"/>
      <c r="B569" s="520"/>
      <c r="C569" s="506">
        <v>132</v>
      </c>
      <c r="D569" s="506"/>
      <c r="E569" s="506" t="s">
        <v>516</v>
      </c>
      <c r="F569" s="506"/>
      <c r="G569" s="506">
        <v>330</v>
      </c>
      <c r="H569" s="506" t="s">
        <v>617</v>
      </c>
      <c r="I569" s="506" t="s">
        <v>519</v>
      </c>
      <c r="J569" s="525">
        <v>-7835</v>
      </c>
    </row>
    <row r="570" spans="1:10" s="514" customFormat="1" ht="14.25" x14ac:dyDescent="0.2">
      <c r="A570" s="522"/>
      <c r="B570" s="522"/>
      <c r="C570" s="522">
        <v>132</v>
      </c>
      <c r="D570" s="522"/>
      <c r="E570" s="522"/>
      <c r="F570" s="522"/>
      <c r="G570" s="522">
        <v>330</v>
      </c>
      <c r="H570" s="522"/>
      <c r="I570" s="522"/>
      <c r="J570" s="531">
        <v>-7835</v>
      </c>
    </row>
    <row r="571" spans="1:10" ht="14.25" x14ac:dyDescent="0.2">
      <c r="A571" s="506"/>
      <c r="B571" s="520"/>
      <c r="C571" s="506">
        <v>132</v>
      </c>
      <c r="D571" s="506"/>
      <c r="E571" s="506" t="s">
        <v>520</v>
      </c>
      <c r="F571" s="506"/>
      <c r="G571" s="506">
        <v>320</v>
      </c>
      <c r="H571" s="506" t="s">
        <v>617</v>
      </c>
      <c r="I571" s="506" t="s">
        <v>519</v>
      </c>
      <c r="J571" s="525">
        <v>4327</v>
      </c>
    </row>
    <row r="572" spans="1:10" s="514" customFormat="1" ht="14.25" x14ac:dyDescent="0.2">
      <c r="A572" s="522"/>
      <c r="B572" s="522"/>
      <c r="C572" s="522">
        <v>132</v>
      </c>
      <c r="D572" s="522"/>
      <c r="E572" s="522"/>
      <c r="F572" s="522"/>
      <c r="G572" s="522">
        <v>320</v>
      </c>
      <c r="H572" s="522"/>
      <c r="I572" s="522"/>
      <c r="J572" s="531">
        <v>4327</v>
      </c>
    </row>
    <row r="573" spans="1:10" ht="14.25" x14ac:dyDescent="0.2">
      <c r="A573" s="506"/>
      <c r="B573" s="520"/>
      <c r="C573" s="506">
        <v>132</v>
      </c>
      <c r="D573" s="506"/>
      <c r="E573" s="506" t="s">
        <v>516</v>
      </c>
      <c r="F573" s="506"/>
      <c r="G573" s="506">
        <v>310</v>
      </c>
      <c r="H573" s="506" t="s">
        <v>617</v>
      </c>
      <c r="I573" s="506" t="s">
        <v>519</v>
      </c>
      <c r="J573" s="525">
        <v>-384</v>
      </c>
    </row>
    <row r="574" spans="1:10" s="514" customFormat="1" ht="14.25" x14ac:dyDescent="0.2">
      <c r="A574" s="522"/>
      <c r="B574" s="522"/>
      <c r="C574" s="522">
        <v>132</v>
      </c>
      <c r="D574" s="522"/>
      <c r="E574" s="522"/>
      <c r="F574" s="522"/>
      <c r="G574" s="522">
        <v>310</v>
      </c>
      <c r="H574" s="522"/>
      <c r="I574" s="522"/>
      <c r="J574" s="531">
        <v>-384</v>
      </c>
    </row>
    <row r="575" spans="1:10" ht="14.25" x14ac:dyDescent="0.2">
      <c r="A575" s="506"/>
      <c r="B575" s="520"/>
      <c r="C575" s="506">
        <v>132</v>
      </c>
      <c r="D575" s="506"/>
      <c r="E575" s="506" t="s">
        <v>520</v>
      </c>
      <c r="F575" s="506"/>
      <c r="G575" s="506">
        <v>31</v>
      </c>
      <c r="H575" s="506" t="s">
        <v>617</v>
      </c>
      <c r="I575" s="506" t="s">
        <v>519</v>
      </c>
      <c r="J575" s="525">
        <v>37470</v>
      </c>
    </row>
    <row r="576" spans="1:10" s="514" customFormat="1" ht="14.25" x14ac:dyDescent="0.2">
      <c r="A576" s="522"/>
      <c r="B576" s="522"/>
      <c r="C576" s="522">
        <v>132</v>
      </c>
      <c r="D576" s="522"/>
      <c r="E576" s="522"/>
      <c r="F576" s="522"/>
      <c r="G576" s="522">
        <v>31</v>
      </c>
      <c r="H576" s="522"/>
      <c r="I576" s="522"/>
      <c r="J576" s="531">
        <v>37470</v>
      </c>
    </row>
    <row r="577" spans="1:10" ht="14.25" x14ac:dyDescent="0.2">
      <c r="A577" s="506"/>
      <c r="B577" s="520"/>
      <c r="C577" s="506">
        <v>132</v>
      </c>
      <c r="D577" s="506"/>
      <c r="E577" s="506" t="s">
        <v>516</v>
      </c>
      <c r="F577" s="506"/>
      <c r="G577" s="506">
        <v>280</v>
      </c>
      <c r="H577" s="506" t="s">
        <v>617</v>
      </c>
      <c r="I577" s="506" t="s">
        <v>519</v>
      </c>
      <c r="J577" s="525">
        <v>-750</v>
      </c>
    </row>
    <row r="578" spans="1:10" ht="14.25" x14ac:dyDescent="0.2">
      <c r="A578" s="506"/>
      <c r="B578" s="506"/>
      <c r="C578" s="506">
        <v>132</v>
      </c>
      <c r="D578" s="506"/>
      <c r="E578" s="506"/>
      <c r="F578" s="506"/>
      <c r="G578" s="506">
        <v>280</v>
      </c>
      <c r="H578" s="506"/>
      <c r="I578" s="506"/>
      <c r="J578" s="525">
        <v>-750</v>
      </c>
    </row>
    <row r="579" spans="1:10" ht="14.25" x14ac:dyDescent="0.2">
      <c r="A579" s="506"/>
      <c r="B579" s="520"/>
      <c r="C579" s="506">
        <v>132</v>
      </c>
      <c r="D579" s="506"/>
      <c r="E579" s="506" t="s">
        <v>516</v>
      </c>
      <c r="F579" s="506"/>
      <c r="G579" s="506">
        <v>270</v>
      </c>
      <c r="H579" s="506" t="s">
        <v>617</v>
      </c>
      <c r="I579" s="506" t="s">
        <v>519</v>
      </c>
      <c r="J579" s="525">
        <v>-548</v>
      </c>
    </row>
    <row r="580" spans="1:10" s="514" customFormat="1" ht="14.25" x14ac:dyDescent="0.2">
      <c r="A580" s="522"/>
      <c r="B580" s="522"/>
      <c r="C580" s="522">
        <v>132</v>
      </c>
      <c r="D580" s="522"/>
      <c r="E580" s="522"/>
      <c r="F580" s="522"/>
      <c r="G580" s="522">
        <v>270</v>
      </c>
      <c r="H580" s="522"/>
      <c r="I580" s="522"/>
      <c r="J580" s="531">
        <v>-548</v>
      </c>
    </row>
    <row r="581" spans="1:10" ht="14.25" x14ac:dyDescent="0.2">
      <c r="A581" s="506"/>
      <c r="B581" s="520"/>
      <c r="C581" s="506">
        <v>132</v>
      </c>
      <c r="D581" s="506"/>
      <c r="E581" s="506" t="s">
        <v>516</v>
      </c>
      <c r="F581" s="506"/>
      <c r="G581" s="506">
        <v>260</v>
      </c>
      <c r="H581" s="506" t="s">
        <v>617</v>
      </c>
      <c r="I581" s="506" t="s">
        <v>519</v>
      </c>
      <c r="J581" s="525">
        <v>-5362</v>
      </c>
    </row>
    <row r="582" spans="1:10" s="514" customFormat="1" ht="14.25" x14ac:dyDescent="0.2">
      <c r="A582" s="522"/>
      <c r="B582" s="522"/>
      <c r="C582" s="522">
        <v>132</v>
      </c>
      <c r="D582" s="522"/>
      <c r="E582" s="522"/>
      <c r="F582" s="522"/>
      <c r="G582" s="522">
        <v>260</v>
      </c>
      <c r="H582" s="522"/>
      <c r="I582" s="522"/>
      <c r="J582" s="531">
        <v>-5362</v>
      </c>
    </row>
    <row r="583" spans="1:10" ht="14.25" x14ac:dyDescent="0.2">
      <c r="A583" s="506"/>
      <c r="B583" s="520"/>
      <c r="C583" s="506">
        <v>132</v>
      </c>
      <c r="D583" s="506"/>
      <c r="E583" s="506" t="s">
        <v>516</v>
      </c>
      <c r="F583" s="506"/>
      <c r="G583" s="506">
        <v>250</v>
      </c>
      <c r="H583" s="506" t="s">
        <v>617</v>
      </c>
      <c r="I583" s="506" t="s">
        <v>519</v>
      </c>
      <c r="J583" s="525">
        <v>-2600</v>
      </c>
    </row>
    <row r="584" spans="1:10" s="514" customFormat="1" ht="14.25" x14ac:dyDescent="0.2">
      <c r="A584" s="522"/>
      <c r="B584" s="522"/>
      <c r="C584" s="522">
        <v>132</v>
      </c>
      <c r="D584" s="522"/>
      <c r="E584" s="522"/>
      <c r="F584" s="522"/>
      <c r="G584" s="522">
        <v>250</v>
      </c>
      <c r="H584" s="522"/>
      <c r="I584" s="522"/>
      <c r="J584" s="531">
        <v>-2600</v>
      </c>
    </row>
    <row r="585" spans="1:10" ht="14.25" x14ac:dyDescent="0.2">
      <c r="A585" s="506"/>
      <c r="B585" s="520"/>
      <c r="C585" s="506">
        <v>132</v>
      </c>
      <c r="D585" s="506"/>
      <c r="E585" s="506" t="s">
        <v>516</v>
      </c>
      <c r="F585" s="506"/>
      <c r="G585" s="506">
        <v>230</v>
      </c>
      <c r="H585" s="506" t="s">
        <v>617</v>
      </c>
      <c r="I585" s="506" t="s">
        <v>519</v>
      </c>
      <c r="J585" s="525">
        <v>-6549</v>
      </c>
    </row>
    <row r="586" spans="1:10" s="514" customFormat="1" ht="14.25" x14ac:dyDescent="0.2">
      <c r="A586" s="522"/>
      <c r="B586" s="522"/>
      <c r="C586" s="522">
        <v>132</v>
      </c>
      <c r="D586" s="522"/>
      <c r="E586" s="522"/>
      <c r="F586" s="522"/>
      <c r="G586" s="522">
        <v>230</v>
      </c>
      <c r="H586" s="522"/>
      <c r="I586" s="522"/>
      <c r="J586" s="531">
        <v>-6549</v>
      </c>
    </row>
    <row r="587" spans="1:10" ht="14.25" x14ac:dyDescent="0.2">
      <c r="A587" s="506"/>
      <c r="B587" s="520"/>
      <c r="C587" s="506">
        <v>132</v>
      </c>
      <c r="D587" s="506"/>
      <c r="E587" s="506" t="s">
        <v>516</v>
      </c>
      <c r="F587" s="506"/>
      <c r="G587" s="506">
        <v>210</v>
      </c>
      <c r="H587" s="506" t="s">
        <v>617</v>
      </c>
      <c r="I587" s="506" t="s">
        <v>519</v>
      </c>
      <c r="J587" s="525">
        <v>-2234</v>
      </c>
    </row>
    <row r="588" spans="1:10" s="514" customFormat="1" ht="14.25" x14ac:dyDescent="0.2">
      <c r="A588" s="522"/>
      <c r="B588" s="522"/>
      <c r="C588" s="522">
        <v>132</v>
      </c>
      <c r="D588" s="522"/>
      <c r="E588" s="522"/>
      <c r="F588" s="522"/>
      <c r="G588" s="522">
        <v>210</v>
      </c>
      <c r="H588" s="522"/>
      <c r="I588" s="522"/>
      <c r="J588" s="531">
        <v>-2234</v>
      </c>
    </row>
    <row r="589" spans="1:10" ht="14.25" x14ac:dyDescent="0.2">
      <c r="A589" s="506"/>
      <c r="B589" s="520"/>
      <c r="C589" s="506">
        <v>132</v>
      </c>
      <c r="D589" s="506"/>
      <c r="E589" s="506" t="s">
        <v>516</v>
      </c>
      <c r="F589" s="506"/>
      <c r="G589" s="506">
        <v>190</v>
      </c>
      <c r="H589" s="506" t="s">
        <v>617</v>
      </c>
      <c r="I589" s="506" t="s">
        <v>519</v>
      </c>
      <c r="J589" s="525">
        <v>-23200</v>
      </c>
    </row>
    <row r="590" spans="1:10" s="514" customFormat="1" ht="14.25" x14ac:dyDescent="0.2">
      <c r="A590" s="522"/>
      <c r="B590" s="522"/>
      <c r="C590" s="522">
        <v>132</v>
      </c>
      <c r="D590" s="522"/>
      <c r="E590" s="522"/>
      <c r="F590" s="522"/>
      <c r="G590" s="522">
        <v>190</v>
      </c>
      <c r="H590" s="522"/>
      <c r="I590" s="522"/>
      <c r="J590" s="531">
        <v>-23200</v>
      </c>
    </row>
    <row r="591" spans="1:10" ht="14.25" x14ac:dyDescent="0.2">
      <c r="A591" s="506"/>
      <c r="B591" s="520"/>
      <c r="C591" s="506">
        <v>132</v>
      </c>
      <c r="D591" s="506"/>
      <c r="E591" s="506" t="s">
        <v>516</v>
      </c>
      <c r="F591" s="506"/>
      <c r="G591" s="506">
        <v>180</v>
      </c>
      <c r="H591" s="506" t="s">
        <v>617</v>
      </c>
      <c r="I591" s="506" t="s">
        <v>519</v>
      </c>
      <c r="J591" s="525">
        <v>-5000</v>
      </c>
    </row>
    <row r="592" spans="1:10" s="514" customFormat="1" ht="14.25" x14ac:dyDescent="0.2">
      <c r="A592" s="522"/>
      <c r="B592" s="522"/>
      <c r="C592" s="522">
        <v>132</v>
      </c>
      <c r="D592" s="522"/>
      <c r="E592" s="522"/>
      <c r="F592" s="522"/>
      <c r="G592" s="522">
        <v>180</v>
      </c>
      <c r="H592" s="522"/>
      <c r="I592" s="522"/>
      <c r="J592" s="531">
        <v>-5000</v>
      </c>
    </row>
    <row r="593" spans="1:10" ht="14.25" x14ac:dyDescent="0.2">
      <c r="A593" s="506"/>
      <c r="B593" s="520"/>
      <c r="C593" s="506">
        <v>132</v>
      </c>
      <c r="D593" s="506"/>
      <c r="E593" s="506" t="s">
        <v>520</v>
      </c>
      <c r="F593" s="506"/>
      <c r="G593" s="506">
        <v>170</v>
      </c>
      <c r="H593" s="506" t="s">
        <v>617</v>
      </c>
      <c r="I593" s="506" t="s">
        <v>519</v>
      </c>
      <c r="J593" s="525">
        <v>11590</v>
      </c>
    </row>
    <row r="594" spans="1:10" s="514" customFormat="1" ht="14.25" x14ac:dyDescent="0.2">
      <c r="A594" s="522"/>
      <c r="B594" s="522"/>
      <c r="C594" s="522">
        <v>132</v>
      </c>
      <c r="D594" s="522"/>
      <c r="E594" s="522"/>
      <c r="F594" s="522"/>
      <c r="G594" s="522">
        <v>170</v>
      </c>
      <c r="H594" s="522"/>
      <c r="I594" s="522"/>
      <c r="J594" s="531">
        <v>11590</v>
      </c>
    </row>
    <row r="595" spans="1:10" ht="14.25" x14ac:dyDescent="0.2">
      <c r="A595" s="506"/>
      <c r="B595" s="520"/>
      <c r="C595" s="506">
        <v>132</v>
      </c>
      <c r="D595" s="506"/>
      <c r="E595" s="506" t="s">
        <v>516</v>
      </c>
      <c r="F595" s="506"/>
      <c r="G595" s="506">
        <v>150</v>
      </c>
      <c r="H595" s="506" t="s">
        <v>617</v>
      </c>
      <c r="I595" s="506" t="s">
        <v>519</v>
      </c>
      <c r="J595" s="525">
        <v>-5300</v>
      </c>
    </row>
    <row r="596" spans="1:10" s="514" customFormat="1" ht="14.25" x14ac:dyDescent="0.2">
      <c r="A596" s="522"/>
      <c r="B596" s="522"/>
      <c r="C596" s="522">
        <v>132</v>
      </c>
      <c r="D596" s="522"/>
      <c r="E596" s="522"/>
      <c r="F596" s="522"/>
      <c r="G596" s="522">
        <v>150</v>
      </c>
      <c r="H596" s="522"/>
      <c r="I596" s="522"/>
      <c r="J596" s="531">
        <v>-5300</v>
      </c>
    </row>
    <row r="597" spans="1:10" ht="14.25" x14ac:dyDescent="0.2">
      <c r="A597" s="506"/>
      <c r="B597" s="520"/>
      <c r="C597" s="506">
        <v>132</v>
      </c>
      <c r="D597" s="506"/>
      <c r="E597" s="506" t="s">
        <v>516</v>
      </c>
      <c r="F597" s="506"/>
      <c r="G597" s="506">
        <v>140</v>
      </c>
      <c r="H597" s="506" t="s">
        <v>617</v>
      </c>
      <c r="I597" s="506" t="s">
        <v>519</v>
      </c>
      <c r="J597" s="525">
        <v>-2900</v>
      </c>
    </row>
    <row r="598" spans="1:10" s="514" customFormat="1" ht="14.25" x14ac:dyDescent="0.2">
      <c r="A598" s="522"/>
      <c r="B598" s="522"/>
      <c r="C598" s="522">
        <v>132</v>
      </c>
      <c r="D598" s="522"/>
      <c r="E598" s="522"/>
      <c r="F598" s="522"/>
      <c r="G598" s="522">
        <v>140</v>
      </c>
      <c r="H598" s="522"/>
      <c r="I598" s="522"/>
      <c r="J598" s="531">
        <v>-2900</v>
      </c>
    </row>
    <row r="599" spans="1:10" ht="14.25" x14ac:dyDescent="0.2">
      <c r="A599" s="506"/>
      <c r="B599" s="520"/>
      <c r="C599" s="506">
        <v>132</v>
      </c>
      <c r="D599" s="506"/>
      <c r="E599" s="506" t="s">
        <v>520</v>
      </c>
      <c r="F599" s="506"/>
      <c r="G599" s="506">
        <v>130</v>
      </c>
      <c r="H599" s="506" t="s">
        <v>617</v>
      </c>
      <c r="I599" s="506" t="s">
        <v>519</v>
      </c>
      <c r="J599" s="525">
        <v>9160</v>
      </c>
    </row>
    <row r="600" spans="1:10" s="514" customFormat="1" ht="14.25" x14ac:dyDescent="0.2">
      <c r="A600" s="522"/>
      <c r="B600" s="522"/>
      <c r="C600" s="522">
        <v>132</v>
      </c>
      <c r="D600" s="522"/>
      <c r="E600" s="522"/>
      <c r="F600" s="522"/>
      <c r="G600" s="522">
        <v>130</v>
      </c>
      <c r="H600" s="522"/>
      <c r="I600" s="522"/>
      <c r="J600" s="531">
        <v>9160</v>
      </c>
    </row>
    <row r="601" spans="1:10" ht="14.25" x14ac:dyDescent="0.2">
      <c r="A601" s="506"/>
      <c r="B601" s="520"/>
      <c r="C601" s="506">
        <v>132</v>
      </c>
      <c r="D601" s="506"/>
      <c r="E601" s="506" t="s">
        <v>516</v>
      </c>
      <c r="F601" s="506"/>
      <c r="G601" s="506">
        <v>120</v>
      </c>
      <c r="H601" s="506" t="s">
        <v>617</v>
      </c>
      <c r="I601" s="506" t="s">
        <v>519</v>
      </c>
      <c r="J601" s="525">
        <v>-300</v>
      </c>
    </row>
    <row r="602" spans="1:10" s="514" customFormat="1" ht="14.25" x14ac:dyDescent="0.2">
      <c r="A602" s="522"/>
      <c r="B602" s="522"/>
      <c r="C602" s="522">
        <v>132</v>
      </c>
      <c r="D602" s="522"/>
      <c r="E602" s="522"/>
      <c r="F602" s="522"/>
      <c r="G602" s="522">
        <v>120</v>
      </c>
      <c r="H602" s="522"/>
      <c r="I602" s="522"/>
      <c r="J602" s="531">
        <v>-300</v>
      </c>
    </row>
    <row r="603" spans="1:10" ht="14.25" x14ac:dyDescent="0.2">
      <c r="A603" s="506"/>
      <c r="B603" s="520"/>
      <c r="C603" s="506">
        <v>132</v>
      </c>
      <c r="D603" s="506"/>
      <c r="E603" s="506" t="s">
        <v>520</v>
      </c>
      <c r="F603" s="506"/>
      <c r="G603" s="506">
        <v>110</v>
      </c>
      <c r="H603" s="506" t="s">
        <v>617</v>
      </c>
      <c r="I603" s="506" t="s">
        <v>519</v>
      </c>
      <c r="J603" s="525">
        <v>4787</v>
      </c>
    </row>
    <row r="604" spans="1:10" s="514" customFormat="1" ht="14.25" x14ac:dyDescent="0.2">
      <c r="A604" s="522"/>
      <c r="B604" s="522"/>
      <c r="C604" s="522">
        <v>132</v>
      </c>
      <c r="D604" s="522"/>
      <c r="E604" s="522"/>
      <c r="F604" s="522"/>
      <c r="G604" s="522">
        <v>110</v>
      </c>
      <c r="H604" s="522"/>
      <c r="I604" s="522"/>
      <c r="J604" s="531">
        <v>4787</v>
      </c>
    </row>
    <row r="605" spans="1:10" ht="14.25" x14ac:dyDescent="0.2">
      <c r="A605" s="506"/>
      <c r="B605" s="520"/>
      <c r="C605" s="506">
        <v>132</v>
      </c>
      <c r="D605" s="506"/>
      <c r="E605" s="506" t="s">
        <v>520</v>
      </c>
      <c r="F605" s="506"/>
      <c r="G605" s="506">
        <v>100</v>
      </c>
      <c r="H605" s="506" t="s">
        <v>617</v>
      </c>
      <c r="I605" s="506" t="s">
        <v>519</v>
      </c>
      <c r="J605" s="525">
        <v>1750</v>
      </c>
    </row>
    <row r="606" spans="1:10" s="514" customFormat="1" ht="14.25" x14ac:dyDescent="0.2">
      <c r="A606" s="522"/>
      <c r="B606" s="522"/>
      <c r="C606" s="522">
        <v>132</v>
      </c>
      <c r="D606" s="522"/>
      <c r="E606" s="522"/>
      <c r="F606" s="522"/>
      <c r="G606" s="522">
        <v>100</v>
      </c>
      <c r="H606" s="522"/>
      <c r="I606" s="522"/>
      <c r="J606" s="531">
        <v>1750</v>
      </c>
    </row>
    <row r="607" spans="1:10" ht="14.25" x14ac:dyDescent="0.2">
      <c r="A607" s="506"/>
      <c r="B607" s="520"/>
      <c r="C607" s="506">
        <v>132</v>
      </c>
      <c r="D607" s="506"/>
      <c r="E607" s="506" t="s">
        <v>520</v>
      </c>
      <c r="F607" s="506"/>
      <c r="G607" s="506">
        <v>90</v>
      </c>
      <c r="H607" s="506" t="s">
        <v>617</v>
      </c>
      <c r="I607" s="506" t="s">
        <v>519</v>
      </c>
      <c r="J607" s="525">
        <v>6400</v>
      </c>
    </row>
    <row r="608" spans="1:10" s="514" customFormat="1" ht="14.25" x14ac:dyDescent="0.2">
      <c r="A608" s="522"/>
      <c r="B608" s="522"/>
      <c r="C608" s="522">
        <v>132</v>
      </c>
      <c r="D608" s="522"/>
      <c r="E608" s="522"/>
      <c r="F608" s="522"/>
      <c r="G608" s="522">
        <v>90</v>
      </c>
      <c r="H608" s="522"/>
      <c r="I608" s="522"/>
      <c r="J608" s="531">
        <v>6400</v>
      </c>
    </row>
    <row r="609" spans="1:10" ht="14.25" x14ac:dyDescent="0.2">
      <c r="A609" s="506"/>
      <c r="B609" s="520"/>
      <c r="C609" s="506">
        <v>132</v>
      </c>
      <c r="D609" s="506"/>
      <c r="E609" s="506" t="s">
        <v>516</v>
      </c>
      <c r="F609" s="506"/>
      <c r="G609" s="506">
        <v>80</v>
      </c>
      <c r="H609" s="506" t="s">
        <v>617</v>
      </c>
      <c r="I609" s="506" t="s">
        <v>519</v>
      </c>
      <c r="J609" s="525">
        <v>-2000</v>
      </c>
    </row>
    <row r="610" spans="1:10" s="514" customFormat="1" ht="14.25" x14ac:dyDescent="0.2">
      <c r="A610" s="522"/>
      <c r="B610" s="522"/>
      <c r="C610" s="522">
        <v>132</v>
      </c>
      <c r="D610" s="522"/>
      <c r="E610" s="522"/>
      <c r="F610" s="522"/>
      <c r="G610" s="522">
        <v>80</v>
      </c>
      <c r="H610" s="522"/>
      <c r="I610" s="522"/>
      <c r="J610" s="531">
        <v>-2000</v>
      </c>
    </row>
    <row r="611" spans="1:10" ht="14.25" x14ac:dyDescent="0.2">
      <c r="A611" s="506"/>
      <c r="B611" s="520"/>
      <c r="C611" s="506">
        <v>132</v>
      </c>
      <c r="D611" s="506"/>
      <c r="E611" s="506" t="s">
        <v>516</v>
      </c>
      <c r="F611" s="506"/>
      <c r="G611" s="506">
        <v>50</v>
      </c>
      <c r="H611" s="506" t="s">
        <v>617</v>
      </c>
      <c r="I611" s="506" t="s">
        <v>519</v>
      </c>
      <c r="J611" s="525">
        <v>-1333</v>
      </c>
    </row>
    <row r="612" spans="1:10" s="514" customFormat="1" ht="14.25" x14ac:dyDescent="0.2">
      <c r="A612" s="522"/>
      <c r="B612" s="522"/>
      <c r="C612" s="522">
        <v>132</v>
      </c>
      <c r="D612" s="522"/>
      <c r="E612" s="522"/>
      <c r="F612" s="522"/>
      <c r="G612" s="522">
        <v>50</v>
      </c>
      <c r="H612" s="522"/>
      <c r="I612" s="522"/>
      <c r="J612" s="531">
        <v>-1333</v>
      </c>
    </row>
    <row r="613" spans="1:10" ht="14.25" x14ac:dyDescent="0.2">
      <c r="A613" s="506"/>
      <c r="B613" s="520"/>
      <c r="C613" s="506">
        <v>132</v>
      </c>
      <c r="D613" s="506"/>
      <c r="E613" s="506" t="s">
        <v>516</v>
      </c>
      <c r="F613" s="506"/>
      <c r="G613" s="506">
        <v>40</v>
      </c>
      <c r="H613" s="506" t="s">
        <v>617</v>
      </c>
      <c r="I613" s="506" t="s">
        <v>519</v>
      </c>
      <c r="J613" s="525">
        <v>-2872</v>
      </c>
    </row>
    <row r="614" spans="1:10" s="514" customFormat="1" ht="14.25" x14ac:dyDescent="0.2">
      <c r="A614" s="510" t="s">
        <v>679</v>
      </c>
      <c r="B614" s="512"/>
      <c r="C614" s="512">
        <v>132</v>
      </c>
      <c r="D614" s="512"/>
      <c r="E614" s="512"/>
      <c r="F614" s="512"/>
      <c r="G614" s="512">
        <v>40</v>
      </c>
      <c r="H614" s="512"/>
      <c r="I614" s="512"/>
      <c r="J614" s="527">
        <v>-2872</v>
      </c>
    </row>
    <row r="615" spans="1:10" x14ac:dyDescent="0.2">
      <c r="A615" s="606"/>
      <c r="B615" s="606"/>
      <c r="C615" s="606"/>
      <c r="D615" s="606"/>
      <c r="E615" s="606"/>
      <c r="F615" s="606"/>
      <c r="G615" s="606"/>
      <c r="H615" s="606"/>
      <c r="I615" s="606"/>
      <c r="J615" s="607"/>
    </row>
    <row r="616" spans="1:10" ht="14.25" x14ac:dyDescent="0.2">
      <c r="A616" s="506">
        <v>462</v>
      </c>
      <c r="B616" s="520">
        <v>41928</v>
      </c>
      <c r="C616" s="506">
        <v>132</v>
      </c>
      <c r="D616" s="506" t="s">
        <v>674</v>
      </c>
      <c r="E616" s="506" t="s">
        <v>520</v>
      </c>
      <c r="F616" s="590" t="s">
        <v>517</v>
      </c>
      <c r="G616" s="506">
        <v>370</v>
      </c>
      <c r="H616" s="506" t="s">
        <v>617</v>
      </c>
      <c r="I616" s="506" t="s">
        <v>519</v>
      </c>
      <c r="J616" s="525">
        <v>3000</v>
      </c>
    </row>
    <row r="617" spans="1:10" ht="14.25" x14ac:dyDescent="0.2">
      <c r="A617" s="506"/>
      <c r="B617" s="506"/>
      <c r="C617" s="522">
        <v>132</v>
      </c>
      <c r="D617" s="506"/>
      <c r="E617" s="506"/>
      <c r="F617" s="590" t="s">
        <v>521</v>
      </c>
      <c r="G617" s="522">
        <v>370</v>
      </c>
      <c r="H617" s="522"/>
      <c r="I617" s="522"/>
      <c r="J617" s="531">
        <v>3000</v>
      </c>
    </row>
    <row r="618" spans="1:10" ht="14.25" x14ac:dyDescent="0.2">
      <c r="A618" s="506"/>
      <c r="B618" s="520"/>
      <c r="C618" s="506">
        <v>132</v>
      </c>
      <c r="D618" s="506"/>
      <c r="E618" s="506" t="s">
        <v>516</v>
      </c>
      <c r="F618" s="506"/>
      <c r="G618" s="506">
        <v>31</v>
      </c>
      <c r="H618" s="506" t="s">
        <v>617</v>
      </c>
      <c r="I618" s="506" t="s">
        <v>519</v>
      </c>
      <c r="J618" s="525">
        <v>-3000</v>
      </c>
    </row>
    <row r="619" spans="1:10" s="514" customFormat="1" ht="14.25" x14ac:dyDescent="0.2">
      <c r="A619" s="510" t="s">
        <v>680</v>
      </c>
      <c r="B619" s="512"/>
      <c r="C619" s="512">
        <v>132</v>
      </c>
      <c r="D619" s="512"/>
      <c r="E619" s="512"/>
      <c r="F619" s="512"/>
      <c r="G619" s="512">
        <v>31</v>
      </c>
      <c r="H619" s="512"/>
      <c r="I619" s="512"/>
      <c r="J619" s="527">
        <v>-3000</v>
      </c>
    </row>
    <row r="620" spans="1:10" x14ac:dyDescent="0.2">
      <c r="A620" s="606"/>
      <c r="B620" s="606"/>
      <c r="C620" s="606"/>
      <c r="D620" s="606"/>
      <c r="E620" s="606"/>
      <c r="F620" s="606"/>
      <c r="G620" s="606"/>
      <c r="H620" s="606"/>
      <c r="I620" s="606"/>
      <c r="J620" s="607"/>
    </row>
    <row r="621" spans="1:10" ht="14.25" x14ac:dyDescent="0.2">
      <c r="A621" s="506">
        <v>475</v>
      </c>
      <c r="B621" s="520">
        <v>41939</v>
      </c>
      <c r="C621" s="506">
        <v>132</v>
      </c>
      <c r="D621" s="506" t="s">
        <v>681</v>
      </c>
      <c r="E621" s="506" t="s">
        <v>520</v>
      </c>
      <c r="F621" s="590" t="s">
        <v>517</v>
      </c>
      <c r="G621" s="506">
        <v>380</v>
      </c>
      <c r="H621" s="506" t="s">
        <v>552</v>
      </c>
      <c r="I621" s="506" t="s">
        <v>519</v>
      </c>
      <c r="J621" s="525">
        <v>654</v>
      </c>
    </row>
    <row r="622" spans="1:10" ht="14.25" x14ac:dyDescent="0.2">
      <c r="A622" s="506"/>
      <c r="B622" s="520"/>
      <c r="C622" s="506">
        <v>132</v>
      </c>
      <c r="D622" s="506"/>
      <c r="E622" s="506" t="s">
        <v>520</v>
      </c>
      <c r="F622" s="590" t="s">
        <v>521</v>
      </c>
      <c r="G622" s="506">
        <v>380</v>
      </c>
      <c r="H622" s="506" t="s">
        <v>551</v>
      </c>
      <c r="I622" s="506" t="s">
        <v>519</v>
      </c>
      <c r="J622" s="525">
        <v>1307</v>
      </c>
    </row>
    <row r="623" spans="1:10" ht="14.25" x14ac:dyDescent="0.2">
      <c r="A623" s="506"/>
      <c r="B623" s="520"/>
      <c r="C623" s="506">
        <v>132</v>
      </c>
      <c r="D623" s="506"/>
      <c r="E623" s="506" t="s">
        <v>520</v>
      </c>
      <c r="F623" s="506"/>
      <c r="G623" s="506">
        <v>380</v>
      </c>
      <c r="H623" s="506" t="s">
        <v>658</v>
      </c>
      <c r="I623" s="506" t="s">
        <v>519</v>
      </c>
      <c r="J623" s="525">
        <v>1000</v>
      </c>
    </row>
    <row r="624" spans="1:10" s="514" customFormat="1" ht="14.25" x14ac:dyDescent="0.2">
      <c r="A624" s="522"/>
      <c r="B624" s="522"/>
      <c r="C624" s="522">
        <v>132</v>
      </c>
      <c r="D624" s="522"/>
      <c r="E624" s="522"/>
      <c r="F624" s="522"/>
      <c r="G624" s="522">
        <v>380</v>
      </c>
      <c r="H624" s="522"/>
      <c r="I624" s="522"/>
      <c r="J624" s="531">
        <v>2961</v>
      </c>
    </row>
    <row r="625" spans="1:10" ht="14.25" x14ac:dyDescent="0.2">
      <c r="A625" s="506"/>
      <c r="B625" s="520"/>
      <c r="C625" s="506">
        <v>132</v>
      </c>
      <c r="D625" s="506"/>
      <c r="E625" s="506" t="s">
        <v>520</v>
      </c>
      <c r="F625" s="506"/>
      <c r="G625" s="506">
        <v>330</v>
      </c>
      <c r="H625" s="506" t="s">
        <v>552</v>
      </c>
      <c r="I625" s="506" t="s">
        <v>519</v>
      </c>
      <c r="J625" s="525">
        <v>3250</v>
      </c>
    </row>
    <row r="626" spans="1:10" ht="14.25" x14ac:dyDescent="0.2">
      <c r="A626" s="506"/>
      <c r="B626" s="520"/>
      <c r="C626" s="506">
        <v>132</v>
      </c>
      <c r="D626" s="506"/>
      <c r="E626" s="506" t="s">
        <v>520</v>
      </c>
      <c r="F626" s="506"/>
      <c r="G626" s="506">
        <v>330</v>
      </c>
      <c r="H626" s="506" t="s">
        <v>551</v>
      </c>
      <c r="I626" s="506" t="s">
        <v>519</v>
      </c>
      <c r="J626" s="525">
        <v>6500</v>
      </c>
    </row>
    <row r="627" spans="1:10" s="514" customFormat="1" ht="14.25" x14ac:dyDescent="0.2">
      <c r="A627" s="522"/>
      <c r="B627" s="522"/>
      <c r="C627" s="522">
        <v>132</v>
      </c>
      <c r="D627" s="522"/>
      <c r="E627" s="522"/>
      <c r="F627" s="522"/>
      <c r="G627" s="522">
        <v>330</v>
      </c>
      <c r="H627" s="522"/>
      <c r="I627" s="522"/>
      <c r="J627" s="531">
        <v>9750</v>
      </c>
    </row>
    <row r="628" spans="1:10" ht="14.25" x14ac:dyDescent="0.2">
      <c r="A628" s="506"/>
      <c r="B628" s="520"/>
      <c r="C628" s="506">
        <v>132</v>
      </c>
      <c r="D628" s="506"/>
      <c r="E628" s="506" t="s">
        <v>516</v>
      </c>
      <c r="F628" s="506"/>
      <c r="G628" s="506">
        <v>31</v>
      </c>
      <c r="H628" s="506" t="s">
        <v>550</v>
      </c>
      <c r="I628" s="506" t="s">
        <v>519</v>
      </c>
      <c r="J628" s="525">
        <v>-9478</v>
      </c>
    </row>
    <row r="629" spans="1:10" ht="14.25" x14ac:dyDescent="0.2">
      <c r="A629" s="506"/>
      <c r="B629" s="520"/>
      <c r="C629" s="506">
        <v>132</v>
      </c>
      <c r="D629" s="506"/>
      <c r="E629" s="506" t="s">
        <v>516</v>
      </c>
      <c r="F629" s="506"/>
      <c r="G629" s="506">
        <v>31</v>
      </c>
      <c r="H629" s="506" t="s">
        <v>552</v>
      </c>
      <c r="I629" s="506" t="s">
        <v>519</v>
      </c>
      <c r="J629" s="525">
        <v>-37222</v>
      </c>
    </row>
    <row r="630" spans="1:10" s="514" customFormat="1" ht="14.25" x14ac:dyDescent="0.2">
      <c r="A630" s="522"/>
      <c r="B630" s="522"/>
      <c r="C630" s="522">
        <v>132</v>
      </c>
      <c r="D630" s="522"/>
      <c r="E630" s="522"/>
      <c r="F630" s="522"/>
      <c r="G630" s="522">
        <v>31</v>
      </c>
      <c r="H630" s="522"/>
      <c r="I630" s="522"/>
      <c r="J630" s="531">
        <v>-46700</v>
      </c>
    </row>
    <row r="631" spans="1:10" ht="14.25" x14ac:dyDescent="0.2">
      <c r="A631" s="506"/>
      <c r="B631" s="520"/>
      <c r="C631" s="506">
        <v>132</v>
      </c>
      <c r="D631" s="506"/>
      <c r="E631" s="506" t="s">
        <v>520</v>
      </c>
      <c r="F631" s="506"/>
      <c r="G631" s="506">
        <v>270</v>
      </c>
      <c r="H631" s="506" t="s">
        <v>552</v>
      </c>
      <c r="I631" s="506" t="s">
        <v>519</v>
      </c>
      <c r="J631" s="525">
        <v>906</v>
      </c>
    </row>
    <row r="632" spans="1:10" ht="14.25" x14ac:dyDescent="0.2">
      <c r="A632" s="506"/>
      <c r="B632" s="520"/>
      <c r="C632" s="506">
        <v>132</v>
      </c>
      <c r="D632" s="506"/>
      <c r="E632" s="506" t="s">
        <v>520</v>
      </c>
      <c r="F632" s="506"/>
      <c r="G632" s="506">
        <v>270</v>
      </c>
      <c r="H632" s="506" t="s">
        <v>551</v>
      </c>
      <c r="I632" s="506" t="s">
        <v>519</v>
      </c>
      <c r="J632" s="525">
        <v>1812</v>
      </c>
    </row>
    <row r="633" spans="1:10" ht="14.25" x14ac:dyDescent="0.2">
      <c r="A633" s="506"/>
      <c r="B633" s="520"/>
      <c r="C633" s="506">
        <v>132</v>
      </c>
      <c r="D633" s="506"/>
      <c r="E633" s="506" t="s">
        <v>520</v>
      </c>
      <c r="F633" s="506"/>
      <c r="G633" s="506">
        <v>270</v>
      </c>
      <c r="H633" s="506" t="s">
        <v>550</v>
      </c>
      <c r="I633" s="506" t="s">
        <v>519</v>
      </c>
      <c r="J633" s="525">
        <v>3625</v>
      </c>
    </row>
    <row r="634" spans="1:10" ht="14.25" x14ac:dyDescent="0.2">
      <c r="A634" s="506"/>
      <c r="B634" s="520"/>
      <c r="C634" s="506">
        <v>132</v>
      </c>
      <c r="D634" s="506"/>
      <c r="E634" s="506" t="s">
        <v>520</v>
      </c>
      <c r="F634" s="506"/>
      <c r="G634" s="506">
        <v>270</v>
      </c>
      <c r="H634" s="506" t="s">
        <v>549</v>
      </c>
      <c r="I634" s="506" t="s">
        <v>519</v>
      </c>
      <c r="J634" s="525">
        <v>1812</v>
      </c>
    </row>
    <row r="635" spans="1:10" s="514" customFormat="1" ht="14.25" x14ac:dyDescent="0.2">
      <c r="A635" s="522"/>
      <c r="B635" s="522"/>
      <c r="C635" s="522">
        <v>132</v>
      </c>
      <c r="D635" s="522"/>
      <c r="E635" s="522"/>
      <c r="F635" s="522"/>
      <c r="G635" s="522">
        <v>270</v>
      </c>
      <c r="H635" s="522"/>
      <c r="I635" s="522"/>
      <c r="J635" s="531">
        <v>8155</v>
      </c>
    </row>
    <row r="636" spans="1:10" ht="14.25" x14ac:dyDescent="0.2">
      <c r="A636" s="506"/>
      <c r="B636" s="520"/>
      <c r="C636" s="506">
        <v>132</v>
      </c>
      <c r="D636" s="506"/>
      <c r="E636" s="506" t="s">
        <v>520</v>
      </c>
      <c r="F636" s="506"/>
      <c r="G636" s="506">
        <v>250</v>
      </c>
      <c r="H636" s="506" t="s">
        <v>552</v>
      </c>
      <c r="I636" s="506" t="s">
        <v>519</v>
      </c>
      <c r="J636" s="525">
        <v>1950</v>
      </c>
    </row>
    <row r="637" spans="1:10" ht="14.25" x14ac:dyDescent="0.2">
      <c r="A637" s="506"/>
      <c r="B637" s="520"/>
      <c r="C637" s="506">
        <v>132</v>
      </c>
      <c r="D637" s="506"/>
      <c r="E637" s="506" t="s">
        <v>520</v>
      </c>
      <c r="F637" s="506"/>
      <c r="G637" s="506">
        <v>250</v>
      </c>
      <c r="H637" s="506" t="s">
        <v>551</v>
      </c>
      <c r="I637" s="506" t="s">
        <v>519</v>
      </c>
      <c r="J637" s="525">
        <v>3901</v>
      </c>
    </row>
    <row r="638" spans="1:10" s="514" customFormat="1" ht="14.25" x14ac:dyDescent="0.2">
      <c r="A638" s="522"/>
      <c r="B638" s="522"/>
      <c r="C638" s="522">
        <v>132</v>
      </c>
      <c r="D638" s="522"/>
      <c r="E638" s="522"/>
      <c r="F638" s="522"/>
      <c r="G638" s="522">
        <v>250</v>
      </c>
      <c r="H638" s="522"/>
      <c r="I638" s="522"/>
      <c r="J638" s="531">
        <v>5851</v>
      </c>
    </row>
    <row r="639" spans="1:10" ht="14.25" x14ac:dyDescent="0.2">
      <c r="A639" s="506"/>
      <c r="B639" s="520"/>
      <c r="C639" s="506">
        <v>132</v>
      </c>
      <c r="D639" s="506"/>
      <c r="E639" s="506" t="s">
        <v>520</v>
      </c>
      <c r="F639" s="506"/>
      <c r="G639" s="506">
        <v>190</v>
      </c>
      <c r="H639" s="506" t="s">
        <v>552</v>
      </c>
      <c r="I639" s="506" t="s">
        <v>519</v>
      </c>
      <c r="J639" s="525">
        <v>710</v>
      </c>
    </row>
    <row r="640" spans="1:10" ht="14.25" x14ac:dyDescent="0.2">
      <c r="A640" s="506"/>
      <c r="B640" s="520"/>
      <c r="C640" s="506">
        <v>132</v>
      </c>
      <c r="D640" s="506"/>
      <c r="E640" s="506" t="s">
        <v>520</v>
      </c>
      <c r="F640" s="506"/>
      <c r="G640" s="506">
        <v>190</v>
      </c>
      <c r="H640" s="506" t="s">
        <v>551</v>
      </c>
      <c r="I640" s="506" t="s">
        <v>519</v>
      </c>
      <c r="J640" s="525">
        <v>1420</v>
      </c>
    </row>
    <row r="641" spans="1:10" s="514" customFormat="1" ht="14.25" x14ac:dyDescent="0.2">
      <c r="A641" s="522"/>
      <c r="B641" s="522"/>
      <c r="C641" s="522">
        <v>132</v>
      </c>
      <c r="D641" s="522"/>
      <c r="E641" s="522"/>
      <c r="F641" s="522"/>
      <c r="G641" s="522">
        <v>190</v>
      </c>
      <c r="H641" s="522"/>
      <c r="I641" s="522"/>
      <c r="J641" s="531">
        <v>2130</v>
      </c>
    </row>
    <row r="642" spans="1:10" ht="14.25" x14ac:dyDescent="0.2">
      <c r="A642" s="506"/>
      <c r="B642" s="520"/>
      <c r="C642" s="506">
        <v>132</v>
      </c>
      <c r="D642" s="506"/>
      <c r="E642" s="506" t="s">
        <v>520</v>
      </c>
      <c r="F642" s="506"/>
      <c r="G642" s="506">
        <v>130</v>
      </c>
      <c r="H642" s="506" t="s">
        <v>552</v>
      </c>
      <c r="I642" s="506" t="s">
        <v>519</v>
      </c>
      <c r="J642" s="525">
        <v>674</v>
      </c>
    </row>
    <row r="643" spans="1:10" ht="14.25" x14ac:dyDescent="0.2">
      <c r="A643" s="506"/>
      <c r="B643" s="520"/>
      <c r="C643" s="506">
        <v>132</v>
      </c>
      <c r="D643" s="506"/>
      <c r="E643" s="506" t="s">
        <v>520</v>
      </c>
      <c r="F643" s="506"/>
      <c r="G643" s="506">
        <v>130</v>
      </c>
      <c r="H643" s="506" t="s">
        <v>551</v>
      </c>
      <c r="I643" s="506" t="s">
        <v>519</v>
      </c>
      <c r="J643" s="525">
        <v>1347</v>
      </c>
    </row>
    <row r="644" spans="1:10" ht="14.25" x14ac:dyDescent="0.2">
      <c r="A644" s="506"/>
      <c r="B644" s="520"/>
      <c r="C644" s="506">
        <v>132</v>
      </c>
      <c r="D644" s="506"/>
      <c r="E644" s="506" t="s">
        <v>520</v>
      </c>
      <c r="F644" s="506"/>
      <c r="G644" s="506">
        <v>130</v>
      </c>
      <c r="H644" s="506" t="s">
        <v>550</v>
      </c>
      <c r="I644" s="506" t="s">
        <v>519</v>
      </c>
      <c r="J644" s="525">
        <v>2694</v>
      </c>
    </row>
    <row r="645" spans="1:10" ht="14.25" x14ac:dyDescent="0.2">
      <c r="A645" s="506"/>
      <c r="B645" s="520"/>
      <c r="C645" s="506">
        <v>132</v>
      </c>
      <c r="D645" s="506"/>
      <c r="E645" s="506" t="s">
        <v>520</v>
      </c>
      <c r="F645" s="506"/>
      <c r="G645" s="506">
        <v>130</v>
      </c>
      <c r="H645" s="506" t="s">
        <v>549</v>
      </c>
      <c r="I645" s="506" t="s">
        <v>519</v>
      </c>
      <c r="J645" s="525">
        <v>1347</v>
      </c>
    </row>
    <row r="646" spans="1:10" s="514" customFormat="1" ht="14.25" x14ac:dyDescent="0.2">
      <c r="A646" s="522"/>
      <c r="B646" s="522"/>
      <c r="C646" s="522">
        <v>132</v>
      </c>
      <c r="D646" s="522"/>
      <c r="E646" s="522"/>
      <c r="F646" s="522"/>
      <c r="G646" s="522">
        <v>130</v>
      </c>
      <c r="H646" s="522"/>
      <c r="I646" s="522"/>
      <c r="J646" s="531">
        <v>6062</v>
      </c>
    </row>
    <row r="647" spans="1:10" ht="14.25" x14ac:dyDescent="0.2">
      <c r="A647" s="506"/>
      <c r="B647" s="520"/>
      <c r="C647" s="506">
        <v>132</v>
      </c>
      <c r="D647" s="506"/>
      <c r="E647" s="506" t="s">
        <v>520</v>
      </c>
      <c r="F647" s="506"/>
      <c r="G647" s="506">
        <v>110</v>
      </c>
      <c r="H647" s="506" t="s">
        <v>552</v>
      </c>
      <c r="I647" s="506" t="s">
        <v>519</v>
      </c>
      <c r="J647" s="525">
        <v>686</v>
      </c>
    </row>
    <row r="648" spans="1:10" ht="14.25" x14ac:dyDescent="0.2">
      <c r="A648" s="506"/>
      <c r="B648" s="520"/>
      <c r="C648" s="506">
        <v>132</v>
      </c>
      <c r="D648" s="506"/>
      <c r="E648" s="506" t="s">
        <v>520</v>
      </c>
      <c r="F648" s="506"/>
      <c r="G648" s="506">
        <v>110</v>
      </c>
      <c r="H648" s="506" t="s">
        <v>551</v>
      </c>
      <c r="I648" s="506" t="s">
        <v>519</v>
      </c>
      <c r="J648" s="525">
        <v>1372</v>
      </c>
    </row>
    <row r="649" spans="1:10" s="514" customFormat="1" ht="14.25" x14ac:dyDescent="0.2">
      <c r="A649" s="522"/>
      <c r="B649" s="522"/>
      <c r="C649" s="522">
        <v>132</v>
      </c>
      <c r="D649" s="522"/>
      <c r="E649" s="522"/>
      <c r="F649" s="522"/>
      <c r="G649" s="522">
        <v>110</v>
      </c>
      <c r="H649" s="522"/>
      <c r="I649" s="522"/>
      <c r="J649" s="531">
        <v>2058</v>
      </c>
    </row>
    <row r="650" spans="1:10" ht="14.25" x14ac:dyDescent="0.2">
      <c r="A650" s="506"/>
      <c r="B650" s="520"/>
      <c r="C650" s="506">
        <v>132</v>
      </c>
      <c r="D650" s="506"/>
      <c r="E650" s="506" t="s">
        <v>520</v>
      </c>
      <c r="F650" s="506"/>
      <c r="G650" s="506">
        <v>60</v>
      </c>
      <c r="H650" s="506" t="s">
        <v>552</v>
      </c>
      <c r="I650" s="506" t="s">
        <v>519</v>
      </c>
      <c r="J650" s="525">
        <v>832</v>
      </c>
    </row>
    <row r="651" spans="1:10" ht="14.25" x14ac:dyDescent="0.2">
      <c r="A651" s="506"/>
      <c r="B651" s="520"/>
      <c r="C651" s="506">
        <v>132</v>
      </c>
      <c r="D651" s="506"/>
      <c r="E651" s="506" t="s">
        <v>520</v>
      </c>
      <c r="F651" s="506"/>
      <c r="G651" s="506">
        <v>60</v>
      </c>
      <c r="H651" s="506" t="s">
        <v>551</v>
      </c>
      <c r="I651" s="506" t="s">
        <v>519</v>
      </c>
      <c r="J651" s="525">
        <v>1664</v>
      </c>
    </row>
    <row r="652" spans="1:10" s="514" customFormat="1" ht="14.25" x14ac:dyDescent="0.2">
      <c r="A652" s="522"/>
      <c r="B652" s="522"/>
      <c r="C652" s="522">
        <v>132</v>
      </c>
      <c r="D652" s="522"/>
      <c r="E652" s="522"/>
      <c r="F652" s="522"/>
      <c r="G652" s="522">
        <v>60</v>
      </c>
      <c r="H652" s="522"/>
      <c r="I652" s="522"/>
      <c r="J652" s="531">
        <v>2496</v>
      </c>
    </row>
    <row r="653" spans="1:10" ht="14.25" x14ac:dyDescent="0.2">
      <c r="A653" s="506"/>
      <c r="B653" s="520"/>
      <c r="C653" s="506">
        <v>132</v>
      </c>
      <c r="D653" s="506"/>
      <c r="E653" s="506" t="s">
        <v>520</v>
      </c>
      <c r="F653" s="506"/>
      <c r="G653" s="506">
        <v>20</v>
      </c>
      <c r="H653" s="506" t="s">
        <v>552</v>
      </c>
      <c r="I653" s="506" t="s">
        <v>519</v>
      </c>
      <c r="J653" s="525">
        <v>2412</v>
      </c>
    </row>
    <row r="654" spans="1:10" ht="14.25" x14ac:dyDescent="0.2">
      <c r="A654" s="506"/>
      <c r="B654" s="520"/>
      <c r="C654" s="506">
        <v>132</v>
      </c>
      <c r="D654" s="506"/>
      <c r="E654" s="506" t="s">
        <v>520</v>
      </c>
      <c r="F654" s="506"/>
      <c r="G654" s="506">
        <v>20</v>
      </c>
      <c r="H654" s="506" t="s">
        <v>551</v>
      </c>
      <c r="I654" s="506" t="s">
        <v>519</v>
      </c>
      <c r="J654" s="525">
        <v>4825</v>
      </c>
    </row>
    <row r="655" spans="1:10" s="514" customFormat="1" ht="14.25" x14ac:dyDescent="0.2">
      <c r="A655" s="510" t="s">
        <v>682</v>
      </c>
      <c r="B655" s="512"/>
      <c r="C655" s="512">
        <v>132</v>
      </c>
      <c r="D655" s="512"/>
      <c r="E655" s="512"/>
      <c r="F655" s="512"/>
      <c r="G655" s="512">
        <v>20</v>
      </c>
      <c r="H655" s="512"/>
      <c r="I655" s="512"/>
      <c r="J655" s="527">
        <v>7237</v>
      </c>
    </row>
    <row r="656" spans="1:10" x14ac:dyDescent="0.2">
      <c r="A656" s="569"/>
      <c r="B656" s="569"/>
      <c r="C656" s="569"/>
      <c r="D656" s="569"/>
      <c r="E656" s="569"/>
      <c r="F656" s="569"/>
      <c r="G656" s="569"/>
      <c r="H656" s="569"/>
      <c r="I656" s="569"/>
      <c r="J656" s="601"/>
    </row>
    <row r="657" spans="1:10" ht="14.25" x14ac:dyDescent="0.2">
      <c r="A657" s="506">
        <v>478</v>
      </c>
      <c r="B657" s="520">
        <v>41940</v>
      </c>
      <c r="C657" s="506">
        <v>132</v>
      </c>
      <c r="D657" s="506" t="s">
        <v>683</v>
      </c>
      <c r="E657" s="506" t="s">
        <v>516</v>
      </c>
      <c r="F657" s="590" t="s">
        <v>517</v>
      </c>
      <c r="G657" s="506">
        <v>31</v>
      </c>
      <c r="H657" s="506" t="s">
        <v>538</v>
      </c>
      <c r="I657" s="506" t="s">
        <v>519</v>
      </c>
      <c r="J657" s="525">
        <v>-9219</v>
      </c>
    </row>
    <row r="658" spans="1:10" ht="14.25" x14ac:dyDescent="0.2">
      <c r="A658" s="506"/>
      <c r="B658" s="520"/>
      <c r="C658" s="506">
        <v>132</v>
      </c>
      <c r="D658" s="506"/>
      <c r="E658" s="506" t="s">
        <v>516</v>
      </c>
      <c r="F658" s="590" t="s">
        <v>521</v>
      </c>
      <c r="G658" s="506">
        <v>31</v>
      </c>
      <c r="H658" s="506" t="s">
        <v>537</v>
      </c>
      <c r="I658" s="506" t="s">
        <v>519</v>
      </c>
      <c r="J658" s="525">
        <v>-3245</v>
      </c>
    </row>
    <row r="659" spans="1:10" s="514" customFormat="1" ht="14.25" x14ac:dyDescent="0.2">
      <c r="A659" s="522"/>
      <c r="B659" s="522"/>
      <c r="C659" s="522">
        <v>132</v>
      </c>
      <c r="D659" s="522"/>
      <c r="E659" s="522"/>
      <c r="F659" s="522"/>
      <c r="G659" s="522">
        <v>31</v>
      </c>
      <c r="H659" s="522"/>
      <c r="I659" s="522"/>
      <c r="J659" s="531">
        <v>-12464</v>
      </c>
    </row>
    <row r="660" spans="1:10" ht="14.25" x14ac:dyDescent="0.2">
      <c r="A660" s="506"/>
      <c r="B660" s="520"/>
      <c r="C660" s="506">
        <v>132</v>
      </c>
      <c r="D660" s="506"/>
      <c r="E660" s="506" t="s">
        <v>520</v>
      </c>
      <c r="F660" s="506"/>
      <c r="G660" s="506">
        <v>300</v>
      </c>
      <c r="H660" s="506" t="s">
        <v>536</v>
      </c>
      <c r="I660" s="506" t="s">
        <v>519</v>
      </c>
      <c r="J660" s="525">
        <v>2337</v>
      </c>
    </row>
    <row r="661" spans="1:10" ht="14.25" x14ac:dyDescent="0.2">
      <c r="A661" s="506"/>
      <c r="B661" s="520"/>
      <c r="C661" s="506">
        <v>132</v>
      </c>
      <c r="D661" s="506"/>
      <c r="E661" s="506" t="s">
        <v>520</v>
      </c>
      <c r="F661" s="506"/>
      <c r="G661" s="506">
        <v>300</v>
      </c>
      <c r="H661" s="506" t="s">
        <v>537</v>
      </c>
      <c r="I661" s="506" t="s">
        <v>519</v>
      </c>
      <c r="J661" s="525">
        <v>823</v>
      </c>
    </row>
    <row r="662" spans="1:10" s="514" customFormat="1" ht="14.25" x14ac:dyDescent="0.2">
      <c r="A662" s="522"/>
      <c r="B662" s="522"/>
      <c r="C662" s="522">
        <v>132</v>
      </c>
      <c r="D662" s="522"/>
      <c r="E662" s="522"/>
      <c r="F662" s="522"/>
      <c r="G662" s="522">
        <v>300</v>
      </c>
      <c r="H662" s="522"/>
      <c r="I662" s="522"/>
      <c r="J662" s="531">
        <v>3160</v>
      </c>
    </row>
    <row r="663" spans="1:10" ht="14.25" x14ac:dyDescent="0.2">
      <c r="A663" s="506"/>
      <c r="B663" s="520"/>
      <c r="C663" s="506">
        <v>132</v>
      </c>
      <c r="D663" s="506"/>
      <c r="E663" s="506" t="s">
        <v>520</v>
      </c>
      <c r="F663" s="506"/>
      <c r="G663" s="506">
        <v>270</v>
      </c>
      <c r="H663" s="506" t="s">
        <v>536</v>
      </c>
      <c r="I663" s="506" t="s">
        <v>519</v>
      </c>
      <c r="J663" s="525">
        <v>2256</v>
      </c>
    </row>
    <row r="664" spans="1:10" ht="14.25" x14ac:dyDescent="0.2">
      <c r="A664" s="506"/>
      <c r="B664" s="520"/>
      <c r="C664" s="506">
        <v>132</v>
      </c>
      <c r="D664" s="506"/>
      <c r="E664" s="506" t="s">
        <v>520</v>
      </c>
      <c r="F664" s="506"/>
      <c r="G664" s="506">
        <v>270</v>
      </c>
      <c r="H664" s="506" t="s">
        <v>537</v>
      </c>
      <c r="I664" s="506" t="s">
        <v>519</v>
      </c>
      <c r="J664" s="525">
        <v>794</v>
      </c>
    </row>
    <row r="665" spans="1:10" s="514" customFormat="1" ht="14.25" x14ac:dyDescent="0.2">
      <c r="A665" s="522"/>
      <c r="B665" s="522"/>
      <c r="C665" s="522">
        <v>132</v>
      </c>
      <c r="D665" s="522"/>
      <c r="E665" s="522"/>
      <c r="F665" s="522"/>
      <c r="G665" s="522">
        <v>270</v>
      </c>
      <c r="H665" s="522"/>
      <c r="I665" s="522"/>
      <c r="J665" s="531">
        <v>3050</v>
      </c>
    </row>
    <row r="666" spans="1:10" ht="14.25" x14ac:dyDescent="0.2">
      <c r="A666" s="506"/>
      <c r="B666" s="520"/>
      <c r="C666" s="506">
        <v>132</v>
      </c>
      <c r="D666" s="506"/>
      <c r="E666" s="506" t="s">
        <v>520</v>
      </c>
      <c r="F666" s="506"/>
      <c r="G666" s="506">
        <v>160</v>
      </c>
      <c r="H666" s="506" t="s">
        <v>536</v>
      </c>
      <c r="I666" s="506" t="s">
        <v>519</v>
      </c>
      <c r="J666" s="525">
        <v>2256</v>
      </c>
    </row>
    <row r="667" spans="1:10" ht="14.25" x14ac:dyDescent="0.2">
      <c r="A667" s="506"/>
      <c r="B667" s="520"/>
      <c r="C667" s="506">
        <v>132</v>
      </c>
      <c r="D667" s="506"/>
      <c r="E667" s="506" t="s">
        <v>520</v>
      </c>
      <c r="F667" s="506"/>
      <c r="G667" s="506">
        <v>160</v>
      </c>
      <c r="H667" s="506" t="s">
        <v>537</v>
      </c>
      <c r="I667" s="506" t="s">
        <v>519</v>
      </c>
      <c r="J667" s="525">
        <v>794</v>
      </c>
    </row>
    <row r="668" spans="1:10" s="514" customFormat="1" ht="14.25" x14ac:dyDescent="0.2">
      <c r="A668" s="522"/>
      <c r="B668" s="522"/>
      <c r="C668" s="522">
        <v>132</v>
      </c>
      <c r="D668" s="522"/>
      <c r="E668" s="522"/>
      <c r="F668" s="522"/>
      <c r="G668" s="522">
        <v>160</v>
      </c>
      <c r="H668" s="522"/>
      <c r="I668" s="522"/>
      <c r="J668" s="531">
        <v>3050</v>
      </c>
    </row>
    <row r="669" spans="1:10" ht="14.25" x14ac:dyDescent="0.2">
      <c r="A669" s="506"/>
      <c r="B669" s="520"/>
      <c r="C669" s="506">
        <v>132</v>
      </c>
      <c r="D669" s="506"/>
      <c r="E669" s="506" t="s">
        <v>520</v>
      </c>
      <c r="F669" s="506"/>
      <c r="G669" s="506">
        <v>80</v>
      </c>
      <c r="H669" s="506" t="s">
        <v>536</v>
      </c>
      <c r="I669" s="506" t="s">
        <v>519</v>
      </c>
      <c r="J669" s="525">
        <v>2370</v>
      </c>
    </row>
    <row r="670" spans="1:10" ht="14.25" x14ac:dyDescent="0.2">
      <c r="A670" s="506"/>
      <c r="B670" s="520"/>
      <c r="C670" s="506">
        <v>132</v>
      </c>
      <c r="D670" s="506"/>
      <c r="E670" s="506" t="s">
        <v>520</v>
      </c>
      <c r="F670" s="506"/>
      <c r="G670" s="506">
        <v>80</v>
      </c>
      <c r="H670" s="506" t="s">
        <v>537</v>
      </c>
      <c r="I670" s="506" t="s">
        <v>519</v>
      </c>
      <c r="J670" s="525">
        <v>834</v>
      </c>
    </row>
    <row r="671" spans="1:10" ht="14.25" x14ac:dyDescent="0.2">
      <c r="A671" s="510" t="s">
        <v>684</v>
      </c>
      <c r="B671" s="608"/>
      <c r="C671" s="512">
        <v>132</v>
      </c>
      <c r="D671" s="512"/>
      <c r="E671" s="512"/>
      <c r="F671" s="512"/>
      <c r="G671" s="512">
        <v>80</v>
      </c>
      <c r="H671" s="512"/>
      <c r="I671" s="512"/>
      <c r="J671" s="527">
        <v>3204</v>
      </c>
    </row>
    <row r="672" spans="1:10" x14ac:dyDescent="0.2">
      <c r="A672" s="569"/>
      <c r="B672" s="569"/>
      <c r="C672" s="569"/>
      <c r="D672" s="569"/>
      <c r="E672" s="569"/>
      <c r="F672" s="569"/>
      <c r="G672" s="569"/>
      <c r="H672" s="569"/>
      <c r="I672" s="569"/>
      <c r="J672" s="601"/>
    </row>
    <row r="673" spans="1:10" ht="14.25" x14ac:dyDescent="0.2">
      <c r="A673" s="506">
        <v>490</v>
      </c>
      <c r="B673" s="520">
        <v>41940</v>
      </c>
      <c r="C673" s="506">
        <v>132</v>
      </c>
      <c r="D673" s="506" t="s">
        <v>685</v>
      </c>
      <c r="E673" s="506" t="s">
        <v>516</v>
      </c>
      <c r="F673" s="590" t="s">
        <v>517</v>
      </c>
      <c r="G673" s="506">
        <v>31</v>
      </c>
      <c r="H673" s="506" t="s">
        <v>529</v>
      </c>
      <c r="I673" s="506" t="s">
        <v>519</v>
      </c>
      <c r="J673" s="525">
        <v>-20000</v>
      </c>
    </row>
    <row r="674" spans="1:10" ht="14.25" x14ac:dyDescent="0.2">
      <c r="A674" s="506"/>
      <c r="B674" s="520"/>
      <c r="C674" s="506">
        <v>132</v>
      </c>
      <c r="D674" s="506"/>
      <c r="E674" s="506" t="s">
        <v>520</v>
      </c>
      <c r="F674" s="590" t="s">
        <v>521</v>
      </c>
      <c r="G674" s="506">
        <v>31</v>
      </c>
      <c r="H674" s="506" t="s">
        <v>686</v>
      </c>
      <c r="I674" s="506" t="s">
        <v>519</v>
      </c>
      <c r="J674" s="525">
        <v>20000</v>
      </c>
    </row>
    <row r="675" spans="1:10" ht="14.25" x14ac:dyDescent="0.2">
      <c r="A675" s="506"/>
      <c r="B675" s="520"/>
      <c r="C675" s="506">
        <v>132</v>
      </c>
      <c r="D675" s="506"/>
      <c r="E675" s="506" t="s">
        <v>516</v>
      </c>
      <c r="F675" s="506"/>
      <c r="G675" s="506">
        <v>31</v>
      </c>
      <c r="H675" s="506" t="s">
        <v>617</v>
      </c>
      <c r="I675" s="506" t="s">
        <v>519</v>
      </c>
      <c r="J675" s="525">
        <v>-9057</v>
      </c>
    </row>
    <row r="676" spans="1:10" ht="14.25" x14ac:dyDescent="0.2">
      <c r="A676" s="506"/>
      <c r="B676" s="520"/>
      <c r="C676" s="506">
        <v>132</v>
      </c>
      <c r="D676" s="506"/>
      <c r="E676" s="506" t="s">
        <v>520</v>
      </c>
      <c r="F676" s="506"/>
      <c r="G676" s="506">
        <v>31</v>
      </c>
      <c r="H676" s="506" t="s">
        <v>687</v>
      </c>
      <c r="I676" s="506" t="s">
        <v>519</v>
      </c>
      <c r="J676" s="525">
        <v>9057</v>
      </c>
    </row>
    <row r="677" spans="1:10" s="546" customFormat="1" ht="15.75" thickBot="1" x14ac:dyDescent="0.3">
      <c r="A677" s="532" t="s">
        <v>688</v>
      </c>
      <c r="B677" s="537"/>
      <c r="C677" s="537">
        <v>132</v>
      </c>
      <c r="D677" s="537"/>
      <c r="E677" s="537"/>
      <c r="F677" s="537"/>
      <c r="G677" s="537">
        <v>31</v>
      </c>
      <c r="H677" s="537"/>
      <c r="I677" s="537"/>
      <c r="J677" s="554">
        <v>0</v>
      </c>
    </row>
    <row r="678" spans="1:10" ht="13.5" thickTop="1" x14ac:dyDescent="0.2">
      <c r="A678" s="533"/>
      <c r="B678" s="533"/>
      <c r="C678" s="533"/>
      <c r="D678" s="533"/>
      <c r="E678" s="533"/>
      <c r="F678" s="533"/>
      <c r="G678" s="533"/>
      <c r="H678" s="533"/>
      <c r="I678" s="533"/>
      <c r="J678" s="609"/>
    </row>
    <row r="679" spans="1:10" ht="14.25" x14ac:dyDescent="0.2">
      <c r="A679" s="506">
        <v>511</v>
      </c>
      <c r="B679" s="520">
        <v>41946</v>
      </c>
      <c r="C679" s="506">
        <v>132</v>
      </c>
      <c r="D679" s="506" t="s">
        <v>689</v>
      </c>
      <c r="E679" s="506" t="s">
        <v>516</v>
      </c>
      <c r="F679" s="590" t="s">
        <v>517</v>
      </c>
      <c r="G679" s="506">
        <v>35</v>
      </c>
      <c r="H679" s="506" t="s">
        <v>609</v>
      </c>
      <c r="I679" s="506" t="s">
        <v>519</v>
      </c>
      <c r="J679" s="525">
        <v>-1600</v>
      </c>
    </row>
    <row r="680" spans="1:10" ht="14.25" x14ac:dyDescent="0.2">
      <c r="A680" s="506"/>
      <c r="B680" s="520"/>
      <c r="C680" s="506"/>
      <c r="D680" s="506"/>
      <c r="E680" s="506" t="s">
        <v>520</v>
      </c>
      <c r="F680" s="590" t="s">
        <v>521</v>
      </c>
      <c r="G680" s="506"/>
      <c r="H680" s="506" t="s">
        <v>611</v>
      </c>
      <c r="I680" s="506" t="s">
        <v>519</v>
      </c>
      <c r="J680" s="525">
        <v>1600</v>
      </c>
    </row>
    <row r="681" spans="1:10" ht="14.25" x14ac:dyDescent="0.2">
      <c r="A681" s="506"/>
      <c r="B681" s="520"/>
      <c r="C681" s="506"/>
      <c r="D681" s="506"/>
      <c r="E681" s="506" t="s">
        <v>516</v>
      </c>
      <c r="F681" s="506"/>
      <c r="G681" s="506"/>
      <c r="H681" s="506" t="s">
        <v>555</v>
      </c>
      <c r="I681" s="506" t="s">
        <v>519</v>
      </c>
      <c r="J681" s="525">
        <v>-1300</v>
      </c>
    </row>
    <row r="682" spans="1:10" ht="14.25" x14ac:dyDescent="0.2">
      <c r="A682" s="506"/>
      <c r="B682" s="520"/>
      <c r="C682" s="506"/>
      <c r="D682" s="506"/>
      <c r="E682" s="506" t="s">
        <v>520</v>
      </c>
      <c r="F682" s="506"/>
      <c r="G682" s="506"/>
      <c r="H682" s="506" t="s">
        <v>607</v>
      </c>
      <c r="I682" s="506" t="s">
        <v>519</v>
      </c>
      <c r="J682" s="525">
        <v>1300</v>
      </c>
    </row>
    <row r="683" spans="1:10" ht="14.25" x14ac:dyDescent="0.2">
      <c r="A683" s="506"/>
      <c r="B683" s="520"/>
      <c r="C683" s="506"/>
      <c r="D683" s="506"/>
      <c r="E683" s="506" t="s">
        <v>516</v>
      </c>
      <c r="F683" s="506"/>
      <c r="G683" s="506"/>
      <c r="H683" s="506" t="s">
        <v>556</v>
      </c>
      <c r="I683" s="506" t="s">
        <v>519</v>
      </c>
      <c r="J683" s="525">
        <v>-5500</v>
      </c>
    </row>
    <row r="684" spans="1:10" ht="14.25" x14ac:dyDescent="0.2">
      <c r="A684" s="506"/>
      <c r="B684" s="520"/>
      <c r="C684" s="506"/>
      <c r="D684" s="506"/>
      <c r="E684" s="506" t="s">
        <v>520</v>
      </c>
      <c r="F684" s="506"/>
      <c r="G684" s="506"/>
      <c r="H684" s="506" t="s">
        <v>557</v>
      </c>
      <c r="I684" s="506" t="s">
        <v>519</v>
      </c>
      <c r="J684" s="525">
        <v>500</v>
      </c>
    </row>
    <row r="685" spans="1:10" ht="14.25" x14ac:dyDescent="0.2">
      <c r="A685" s="506"/>
      <c r="B685" s="520"/>
      <c r="C685" s="506"/>
      <c r="D685" s="506"/>
      <c r="E685" s="506" t="s">
        <v>520</v>
      </c>
      <c r="F685" s="506"/>
      <c r="G685" s="506"/>
      <c r="H685" s="506" t="s">
        <v>599</v>
      </c>
      <c r="I685" s="506" t="s">
        <v>519</v>
      </c>
      <c r="J685" s="525">
        <v>5000</v>
      </c>
    </row>
    <row r="686" spans="1:10" ht="14.25" x14ac:dyDescent="0.2">
      <c r="A686" s="506"/>
      <c r="B686" s="520"/>
      <c r="C686" s="506"/>
      <c r="D686" s="506"/>
      <c r="E686" s="506" t="s">
        <v>516</v>
      </c>
      <c r="F686" s="506"/>
      <c r="G686" s="506"/>
      <c r="H686" s="506" t="s">
        <v>604</v>
      </c>
      <c r="I686" s="506" t="s">
        <v>519</v>
      </c>
      <c r="J686" s="525">
        <v>-15000</v>
      </c>
    </row>
    <row r="687" spans="1:10" ht="14.25" x14ac:dyDescent="0.2">
      <c r="A687" s="506"/>
      <c r="B687" s="520"/>
      <c r="C687" s="506"/>
      <c r="D687" s="506"/>
      <c r="E687" s="506" t="s">
        <v>520</v>
      </c>
      <c r="F687" s="506"/>
      <c r="G687" s="506"/>
      <c r="H687" s="506" t="s">
        <v>598</v>
      </c>
      <c r="I687" s="506" t="s">
        <v>519</v>
      </c>
      <c r="J687" s="525">
        <v>15000</v>
      </c>
    </row>
    <row r="688" spans="1:10" s="546" customFormat="1" ht="15" x14ac:dyDescent="0.25">
      <c r="A688" s="510" t="s">
        <v>690</v>
      </c>
      <c r="B688" s="550"/>
      <c r="C688" s="550">
        <v>132</v>
      </c>
      <c r="D688" s="550"/>
      <c r="E688" s="550"/>
      <c r="F688" s="550"/>
      <c r="G688" s="550">
        <v>35</v>
      </c>
      <c r="H688" s="550"/>
      <c r="I688" s="550"/>
      <c r="J688" s="552">
        <f>SUM(J679:J687)</f>
        <v>0</v>
      </c>
    </row>
    <row r="689" spans="1:10" x14ac:dyDescent="0.2">
      <c r="A689" s="569"/>
      <c r="B689" s="569"/>
      <c r="C689" s="569"/>
      <c r="D689" s="569"/>
      <c r="E689" s="569"/>
      <c r="F689" s="569"/>
      <c r="G689" s="569"/>
      <c r="H689" s="569"/>
      <c r="I689" s="569"/>
      <c r="J689" s="601"/>
    </row>
    <row r="690" spans="1:10" ht="14.25" x14ac:dyDescent="0.2">
      <c r="A690" s="506">
        <v>539</v>
      </c>
      <c r="B690" s="520">
        <v>41954</v>
      </c>
      <c r="C690" s="506">
        <v>132</v>
      </c>
      <c r="D690" s="506" t="s">
        <v>691</v>
      </c>
      <c r="E690" s="506" t="s">
        <v>520</v>
      </c>
      <c r="F690" s="590" t="s">
        <v>517</v>
      </c>
      <c r="G690" s="506">
        <v>390</v>
      </c>
      <c r="H690" s="506" t="s">
        <v>536</v>
      </c>
      <c r="I690" s="506" t="s">
        <v>519</v>
      </c>
      <c r="J690" s="525">
        <v>1558</v>
      </c>
    </row>
    <row r="691" spans="1:10" ht="14.25" x14ac:dyDescent="0.2">
      <c r="A691" s="506"/>
      <c r="B691" s="520"/>
      <c r="C691" s="506">
        <v>132</v>
      </c>
      <c r="D691" s="506"/>
      <c r="E691" s="506" t="s">
        <v>520</v>
      </c>
      <c r="F691" s="590" t="s">
        <v>521</v>
      </c>
      <c r="G691" s="506">
        <v>390</v>
      </c>
      <c r="H691" s="506" t="s">
        <v>537</v>
      </c>
      <c r="I691" s="506" t="s">
        <v>519</v>
      </c>
      <c r="J691" s="525">
        <v>548</v>
      </c>
    </row>
    <row r="692" spans="1:10" s="514" customFormat="1" ht="14.25" x14ac:dyDescent="0.2">
      <c r="A692" s="522"/>
      <c r="B692" s="522"/>
      <c r="C692" s="522">
        <v>132</v>
      </c>
      <c r="D692" s="522"/>
      <c r="E692" s="522"/>
      <c r="F692" s="522"/>
      <c r="G692" s="522">
        <v>390</v>
      </c>
      <c r="H692" s="522"/>
      <c r="I692" s="522"/>
      <c r="J692" s="531">
        <v>2106</v>
      </c>
    </row>
    <row r="693" spans="1:10" ht="14.25" x14ac:dyDescent="0.2">
      <c r="A693" s="506"/>
      <c r="B693" s="520"/>
      <c r="C693" s="506">
        <v>132</v>
      </c>
      <c r="D693" s="506"/>
      <c r="E693" s="506" t="s">
        <v>516</v>
      </c>
      <c r="F693" s="506"/>
      <c r="G693" s="506">
        <v>31</v>
      </c>
      <c r="H693" s="506" t="s">
        <v>538</v>
      </c>
      <c r="I693" s="506" t="s">
        <v>519</v>
      </c>
      <c r="J693" s="525">
        <v>-4734</v>
      </c>
    </row>
    <row r="694" spans="1:10" ht="14.25" x14ac:dyDescent="0.2">
      <c r="A694" s="506"/>
      <c r="B694" s="520"/>
      <c r="C694" s="506">
        <v>132</v>
      </c>
      <c r="D694" s="506"/>
      <c r="E694" s="506" t="s">
        <v>516</v>
      </c>
      <c r="F694" s="506"/>
      <c r="G694" s="506">
        <v>31</v>
      </c>
      <c r="H694" s="506" t="s">
        <v>537</v>
      </c>
      <c r="I694" s="506" t="s">
        <v>519</v>
      </c>
      <c r="J694" s="525">
        <v>-1665</v>
      </c>
    </row>
    <row r="695" spans="1:10" s="514" customFormat="1" ht="14.25" x14ac:dyDescent="0.2">
      <c r="A695" s="522"/>
      <c r="B695" s="522"/>
      <c r="C695" s="522">
        <v>132</v>
      </c>
      <c r="D695" s="522"/>
      <c r="E695" s="522"/>
      <c r="F695" s="522"/>
      <c r="G695" s="522">
        <v>31</v>
      </c>
      <c r="H695" s="522"/>
      <c r="I695" s="522"/>
      <c r="J695" s="531">
        <v>-6399</v>
      </c>
    </row>
    <row r="696" spans="1:10" ht="14.25" x14ac:dyDescent="0.2">
      <c r="A696" s="506"/>
      <c r="B696" s="520"/>
      <c r="C696" s="506">
        <v>132</v>
      </c>
      <c r="D696" s="506"/>
      <c r="E696" s="506" t="s">
        <v>520</v>
      </c>
      <c r="F696" s="506"/>
      <c r="G696" s="506">
        <v>290</v>
      </c>
      <c r="H696" s="506" t="s">
        <v>536</v>
      </c>
      <c r="I696" s="506" t="s">
        <v>519</v>
      </c>
      <c r="J696" s="525">
        <v>1598</v>
      </c>
    </row>
    <row r="697" spans="1:10" ht="14.25" x14ac:dyDescent="0.2">
      <c r="A697" s="506"/>
      <c r="B697" s="520"/>
      <c r="C697" s="506">
        <v>132</v>
      </c>
      <c r="D697" s="506"/>
      <c r="E697" s="506" t="s">
        <v>520</v>
      </c>
      <c r="F697" s="506"/>
      <c r="G697" s="506">
        <v>290</v>
      </c>
      <c r="H697" s="506" t="s">
        <v>537</v>
      </c>
      <c r="I697" s="506" t="s">
        <v>519</v>
      </c>
      <c r="J697" s="525">
        <v>562</v>
      </c>
    </row>
    <row r="698" spans="1:10" s="514" customFormat="1" ht="14.25" x14ac:dyDescent="0.2">
      <c r="A698" s="522"/>
      <c r="B698" s="522"/>
      <c r="C698" s="522">
        <v>132</v>
      </c>
      <c r="D698" s="522"/>
      <c r="E698" s="522"/>
      <c r="F698" s="522"/>
      <c r="G698" s="522">
        <v>290</v>
      </c>
      <c r="H698" s="522"/>
      <c r="I698" s="522"/>
      <c r="J698" s="531">
        <v>2160</v>
      </c>
    </row>
    <row r="699" spans="1:10" ht="14.25" x14ac:dyDescent="0.2">
      <c r="A699" s="506"/>
      <c r="B699" s="520"/>
      <c r="C699" s="506">
        <v>132</v>
      </c>
      <c r="D699" s="506"/>
      <c r="E699" s="506" t="s">
        <v>520</v>
      </c>
      <c r="F699" s="506"/>
      <c r="G699" s="506">
        <v>250</v>
      </c>
      <c r="H699" s="506" t="s">
        <v>536</v>
      </c>
      <c r="I699" s="506" t="s">
        <v>519</v>
      </c>
      <c r="J699" s="525">
        <v>1578</v>
      </c>
    </row>
    <row r="700" spans="1:10" ht="14.25" x14ac:dyDescent="0.2">
      <c r="A700" s="506"/>
      <c r="B700" s="520"/>
      <c r="C700" s="506">
        <v>132</v>
      </c>
      <c r="D700" s="506"/>
      <c r="E700" s="506" t="s">
        <v>520</v>
      </c>
      <c r="F700" s="506"/>
      <c r="G700" s="506">
        <v>250</v>
      </c>
      <c r="H700" s="506" t="s">
        <v>537</v>
      </c>
      <c r="I700" s="506" t="s">
        <v>519</v>
      </c>
      <c r="J700" s="525">
        <v>555</v>
      </c>
    </row>
    <row r="701" spans="1:10" s="514" customFormat="1" ht="14.25" x14ac:dyDescent="0.2">
      <c r="A701" s="522"/>
      <c r="B701" s="522"/>
      <c r="C701" s="522">
        <v>132</v>
      </c>
      <c r="D701" s="522"/>
      <c r="E701" s="522"/>
      <c r="F701" s="522"/>
      <c r="G701" s="522">
        <v>250</v>
      </c>
      <c r="H701" s="522"/>
      <c r="I701" s="522"/>
      <c r="J701" s="531">
        <v>2133</v>
      </c>
    </row>
    <row r="702" spans="1:10" ht="15" x14ac:dyDescent="0.25">
      <c r="A702" s="510" t="s">
        <v>692</v>
      </c>
      <c r="B702" s="608"/>
      <c r="C702" s="550">
        <v>132</v>
      </c>
      <c r="D702" s="550"/>
      <c r="E702" s="550"/>
      <c r="F702" s="550"/>
      <c r="G702" s="550"/>
      <c r="H702" s="550"/>
      <c r="I702" s="550"/>
      <c r="J702" s="552">
        <f>SUM(J692+J695+J698+J701)</f>
        <v>0</v>
      </c>
    </row>
    <row r="703" spans="1:10" ht="14.25" x14ac:dyDescent="0.2">
      <c r="A703" s="528"/>
      <c r="B703" s="528"/>
      <c r="C703" s="528"/>
      <c r="D703" s="528"/>
      <c r="E703" s="528"/>
      <c r="F703" s="528"/>
      <c r="G703" s="528"/>
      <c r="H703" s="528"/>
      <c r="I703" s="528"/>
      <c r="J703" s="530"/>
    </row>
    <row r="704" spans="1:10" ht="14.25" x14ac:dyDescent="0.2">
      <c r="A704" s="506">
        <v>547</v>
      </c>
      <c r="B704" s="520">
        <v>41954</v>
      </c>
      <c r="C704" s="506">
        <v>132</v>
      </c>
      <c r="D704" s="506" t="s">
        <v>693</v>
      </c>
      <c r="E704" s="506" t="s">
        <v>516</v>
      </c>
      <c r="F704" s="590" t="s">
        <v>517</v>
      </c>
      <c r="G704" s="506">
        <v>43</v>
      </c>
      <c r="H704" s="506" t="s">
        <v>561</v>
      </c>
      <c r="I704" s="506" t="s">
        <v>519</v>
      </c>
      <c r="J704" s="525">
        <v>-10000</v>
      </c>
    </row>
    <row r="705" spans="1:10" ht="14.25" x14ac:dyDescent="0.2">
      <c r="A705" s="506"/>
      <c r="B705" s="520"/>
      <c r="C705" s="506">
        <v>132</v>
      </c>
      <c r="D705" s="506"/>
      <c r="E705" s="506" t="s">
        <v>516</v>
      </c>
      <c r="F705" s="590" t="s">
        <v>521</v>
      </c>
      <c r="G705" s="506">
        <v>43</v>
      </c>
      <c r="H705" s="506" t="s">
        <v>571</v>
      </c>
      <c r="I705" s="506" t="s">
        <v>519</v>
      </c>
      <c r="J705" s="525">
        <v>-1534</v>
      </c>
    </row>
    <row r="706" spans="1:10" s="514" customFormat="1" ht="14.25" x14ac:dyDescent="0.2">
      <c r="A706" s="522"/>
      <c r="B706" s="522"/>
      <c r="C706" s="522">
        <v>132</v>
      </c>
      <c r="D706" s="522"/>
      <c r="E706" s="522"/>
      <c r="F706" s="522"/>
      <c r="G706" s="522">
        <v>43</v>
      </c>
      <c r="H706" s="522"/>
      <c r="I706" s="522"/>
      <c r="J706" s="531">
        <v>-11534</v>
      </c>
    </row>
    <row r="707" spans="1:10" ht="14.25" x14ac:dyDescent="0.2">
      <c r="A707" s="506"/>
      <c r="B707" s="520"/>
      <c r="C707" s="506">
        <v>132</v>
      </c>
      <c r="D707" s="506"/>
      <c r="E707" s="506" t="s">
        <v>516</v>
      </c>
      <c r="F707" s="506"/>
      <c r="G707" s="506">
        <v>390</v>
      </c>
      <c r="H707" s="506" t="s">
        <v>569</v>
      </c>
      <c r="I707" s="506" t="s">
        <v>519</v>
      </c>
      <c r="J707" s="525">
        <v>-1400</v>
      </c>
    </row>
    <row r="708" spans="1:10" ht="14.25" x14ac:dyDescent="0.2">
      <c r="A708" s="506"/>
      <c r="B708" s="520"/>
      <c r="C708" s="506">
        <v>132</v>
      </c>
      <c r="D708" s="506"/>
      <c r="E708" s="506" t="s">
        <v>520</v>
      </c>
      <c r="F708" s="506"/>
      <c r="G708" s="506">
        <v>390</v>
      </c>
      <c r="H708" s="506" t="s">
        <v>560</v>
      </c>
      <c r="I708" s="506" t="s">
        <v>519</v>
      </c>
      <c r="J708" s="525">
        <v>1400</v>
      </c>
    </row>
    <row r="709" spans="1:10" s="514" customFormat="1" ht="14.25" x14ac:dyDescent="0.2">
      <c r="A709" s="522"/>
      <c r="B709" s="522"/>
      <c r="C709" s="522">
        <v>132</v>
      </c>
      <c r="D709" s="522"/>
      <c r="E709" s="522"/>
      <c r="F709" s="522"/>
      <c r="G709" s="522">
        <v>390</v>
      </c>
      <c r="H709" s="522"/>
      <c r="I709" s="522"/>
      <c r="J709" s="531">
        <v>0</v>
      </c>
    </row>
    <row r="710" spans="1:10" ht="14.25" x14ac:dyDescent="0.2">
      <c r="A710" s="506"/>
      <c r="B710" s="520"/>
      <c r="C710" s="506">
        <v>132</v>
      </c>
      <c r="D710" s="506"/>
      <c r="E710" s="506" t="s">
        <v>516</v>
      </c>
      <c r="F710" s="506"/>
      <c r="G710" s="506">
        <v>370</v>
      </c>
      <c r="H710" s="506" t="s">
        <v>570</v>
      </c>
      <c r="I710" s="506" t="s">
        <v>519</v>
      </c>
      <c r="J710" s="525">
        <v>-100</v>
      </c>
    </row>
    <row r="711" spans="1:10" s="514" customFormat="1" ht="14.25" x14ac:dyDescent="0.2">
      <c r="A711" s="522"/>
      <c r="B711" s="522"/>
      <c r="C711" s="522">
        <v>132</v>
      </c>
      <c r="D711" s="522"/>
      <c r="E711" s="522"/>
      <c r="F711" s="522"/>
      <c r="G711" s="522">
        <v>370</v>
      </c>
      <c r="H711" s="522"/>
      <c r="I711" s="522"/>
      <c r="J711" s="531">
        <v>-100</v>
      </c>
    </row>
    <row r="712" spans="1:10" ht="14.25" x14ac:dyDescent="0.2">
      <c r="A712" s="506"/>
      <c r="B712" s="520"/>
      <c r="C712" s="506">
        <v>132</v>
      </c>
      <c r="D712" s="506"/>
      <c r="E712" s="506" t="s">
        <v>520</v>
      </c>
      <c r="F712" s="506"/>
      <c r="G712" s="506">
        <v>300</v>
      </c>
      <c r="H712" s="506" t="s">
        <v>560</v>
      </c>
      <c r="I712" s="506" t="s">
        <v>519</v>
      </c>
      <c r="J712" s="525">
        <v>4900</v>
      </c>
    </row>
    <row r="713" spans="1:10" s="514" customFormat="1" ht="14.25" x14ac:dyDescent="0.2">
      <c r="A713" s="522"/>
      <c r="B713" s="522"/>
      <c r="C713" s="522">
        <v>132</v>
      </c>
      <c r="D713" s="522"/>
      <c r="E713" s="522"/>
      <c r="F713" s="522"/>
      <c r="G713" s="522">
        <v>300</v>
      </c>
      <c r="H713" s="522"/>
      <c r="I713" s="522"/>
      <c r="J713" s="531">
        <v>4900</v>
      </c>
    </row>
    <row r="714" spans="1:10" ht="14.25" x14ac:dyDescent="0.2">
      <c r="A714" s="506"/>
      <c r="B714" s="520"/>
      <c r="C714" s="506">
        <v>132</v>
      </c>
      <c r="D714" s="506"/>
      <c r="E714" s="506" t="s">
        <v>520</v>
      </c>
      <c r="F714" s="506"/>
      <c r="G714" s="506">
        <v>270</v>
      </c>
      <c r="H714" s="506" t="s">
        <v>560</v>
      </c>
      <c r="I714" s="506" t="s">
        <v>519</v>
      </c>
      <c r="J714" s="525">
        <v>3000</v>
      </c>
    </row>
    <row r="715" spans="1:10" s="514" customFormat="1" ht="14.25" x14ac:dyDescent="0.2">
      <c r="A715" s="522"/>
      <c r="B715" s="522"/>
      <c r="C715" s="522">
        <v>132</v>
      </c>
      <c r="D715" s="522"/>
      <c r="E715" s="522"/>
      <c r="F715" s="522"/>
      <c r="G715" s="522">
        <v>270</v>
      </c>
      <c r="H715" s="522"/>
      <c r="I715" s="522"/>
      <c r="J715" s="531">
        <v>3000</v>
      </c>
    </row>
    <row r="716" spans="1:10" ht="14.25" x14ac:dyDescent="0.2">
      <c r="A716" s="506"/>
      <c r="B716" s="520"/>
      <c r="C716" s="506">
        <v>132</v>
      </c>
      <c r="D716" s="506"/>
      <c r="E716" s="506" t="s">
        <v>520</v>
      </c>
      <c r="F716" s="506"/>
      <c r="G716" s="506">
        <v>210</v>
      </c>
      <c r="H716" s="506" t="s">
        <v>569</v>
      </c>
      <c r="I716" s="506" t="s">
        <v>519</v>
      </c>
      <c r="J716" s="525">
        <v>1679</v>
      </c>
    </row>
    <row r="717" spans="1:10" ht="14.25" x14ac:dyDescent="0.2">
      <c r="A717" s="506"/>
      <c r="B717" s="520"/>
      <c r="C717" s="506">
        <v>132</v>
      </c>
      <c r="D717" s="506"/>
      <c r="E717" s="506" t="s">
        <v>516</v>
      </c>
      <c r="F717" s="506"/>
      <c r="G717" s="506">
        <v>210</v>
      </c>
      <c r="H717" s="506" t="s">
        <v>570</v>
      </c>
      <c r="I717" s="506" t="s">
        <v>519</v>
      </c>
      <c r="J717" s="525">
        <v>-245</v>
      </c>
    </row>
    <row r="718" spans="1:10" s="514" customFormat="1" ht="14.25" x14ac:dyDescent="0.2">
      <c r="A718" s="522"/>
      <c r="B718" s="522"/>
      <c r="C718" s="522">
        <v>132</v>
      </c>
      <c r="D718" s="522"/>
      <c r="E718" s="522"/>
      <c r="F718" s="522"/>
      <c r="G718" s="522">
        <v>210</v>
      </c>
      <c r="H718" s="522"/>
      <c r="I718" s="522"/>
      <c r="J718" s="531">
        <v>1434</v>
      </c>
    </row>
    <row r="719" spans="1:10" ht="14.25" x14ac:dyDescent="0.2">
      <c r="A719" s="506"/>
      <c r="B719" s="520"/>
      <c r="C719" s="506">
        <v>132</v>
      </c>
      <c r="D719" s="506"/>
      <c r="E719" s="506" t="s">
        <v>520</v>
      </c>
      <c r="F719" s="506"/>
      <c r="G719" s="506">
        <v>180</v>
      </c>
      <c r="H719" s="506" t="s">
        <v>569</v>
      </c>
      <c r="I719" s="506" t="s">
        <v>519</v>
      </c>
      <c r="J719" s="525">
        <v>2000</v>
      </c>
    </row>
    <row r="720" spans="1:10" s="514" customFormat="1" ht="14.25" x14ac:dyDescent="0.2">
      <c r="A720" s="522"/>
      <c r="B720" s="522"/>
      <c r="C720" s="522">
        <v>132</v>
      </c>
      <c r="D720" s="522"/>
      <c r="E720" s="522"/>
      <c r="F720" s="522"/>
      <c r="G720" s="522">
        <v>180</v>
      </c>
      <c r="H720" s="522"/>
      <c r="I720" s="522"/>
      <c r="J720" s="531">
        <v>2000</v>
      </c>
    </row>
    <row r="721" spans="1:10" ht="14.25" x14ac:dyDescent="0.2">
      <c r="A721" s="506"/>
      <c r="B721" s="520"/>
      <c r="C721" s="506">
        <v>132</v>
      </c>
      <c r="D721" s="506"/>
      <c r="E721" s="506" t="s">
        <v>520</v>
      </c>
      <c r="F721" s="506"/>
      <c r="G721" s="506">
        <v>120</v>
      </c>
      <c r="H721" s="506" t="s">
        <v>570</v>
      </c>
      <c r="I721" s="506" t="s">
        <v>519</v>
      </c>
      <c r="J721" s="525">
        <v>300</v>
      </c>
    </row>
    <row r="722" spans="1:10" s="514" customFormat="1" ht="14.25" x14ac:dyDescent="0.2">
      <c r="A722" s="522"/>
      <c r="B722" s="522"/>
      <c r="C722" s="522">
        <v>132</v>
      </c>
      <c r="D722" s="522"/>
      <c r="E722" s="522"/>
      <c r="F722" s="522"/>
      <c r="G722" s="522">
        <v>120</v>
      </c>
      <c r="H722" s="522"/>
      <c r="I722" s="522"/>
      <c r="J722" s="531">
        <v>300</v>
      </c>
    </row>
    <row r="723" spans="1:10" ht="14.25" x14ac:dyDescent="0.2">
      <c r="A723" s="506"/>
      <c r="B723" s="520"/>
      <c r="C723" s="506">
        <v>132</v>
      </c>
      <c r="D723" s="506"/>
      <c r="E723" s="506" t="s">
        <v>516</v>
      </c>
      <c r="F723" s="506"/>
      <c r="G723" s="506">
        <v>90</v>
      </c>
      <c r="H723" s="506" t="s">
        <v>569</v>
      </c>
      <c r="I723" s="506" t="s">
        <v>519</v>
      </c>
      <c r="J723" s="525" t="s">
        <v>694</v>
      </c>
    </row>
    <row r="724" spans="1:10" ht="14.25" x14ac:dyDescent="0.2">
      <c r="A724" s="506"/>
      <c r="B724" s="520"/>
      <c r="C724" s="506">
        <v>132</v>
      </c>
      <c r="D724" s="506"/>
      <c r="E724" s="506" t="s">
        <v>520</v>
      </c>
      <c r="F724" s="506"/>
      <c r="G724" s="506">
        <v>90</v>
      </c>
      <c r="H724" s="506" t="s">
        <v>560</v>
      </c>
      <c r="I724" s="506" t="s">
        <v>519</v>
      </c>
      <c r="J724" s="525">
        <v>1200</v>
      </c>
    </row>
    <row r="725" spans="1:10" ht="14.25" x14ac:dyDescent="0.2">
      <c r="A725" s="506"/>
      <c r="B725" s="520"/>
      <c r="C725" s="506">
        <v>132</v>
      </c>
      <c r="D725" s="506"/>
      <c r="E725" s="506" t="s">
        <v>520</v>
      </c>
      <c r="F725" s="506"/>
      <c r="G725" s="506">
        <v>90</v>
      </c>
      <c r="H725" s="506" t="s">
        <v>570</v>
      </c>
      <c r="I725" s="506" t="s">
        <v>519</v>
      </c>
      <c r="J725" s="525">
        <v>200</v>
      </c>
    </row>
    <row r="726" spans="1:10" s="514" customFormat="1" ht="14.25" x14ac:dyDescent="0.2">
      <c r="A726" s="522"/>
      <c r="B726" s="522"/>
      <c r="C726" s="522">
        <v>132</v>
      </c>
      <c r="D726" s="522"/>
      <c r="E726" s="522"/>
      <c r="F726" s="522"/>
      <c r="G726" s="522">
        <v>90</v>
      </c>
      <c r="H726" s="522"/>
      <c r="I726" s="522"/>
      <c r="J726" s="531">
        <v>0</v>
      </c>
    </row>
    <row r="727" spans="1:10" s="514" customFormat="1" ht="14.25" x14ac:dyDescent="0.2">
      <c r="A727" s="510" t="s">
        <v>695</v>
      </c>
      <c r="B727" s="512"/>
      <c r="C727" s="512">
        <v>132</v>
      </c>
      <c r="D727" s="512"/>
      <c r="E727" s="512"/>
      <c r="F727" s="512"/>
      <c r="G727" s="512"/>
      <c r="H727" s="512"/>
      <c r="I727" s="512"/>
      <c r="J727" s="527">
        <f>SUM(J706+J709+J711+J713+J715+J718+J720+J722)</f>
        <v>0</v>
      </c>
    </row>
    <row r="728" spans="1:10" ht="14.25" x14ac:dyDescent="0.2">
      <c r="A728" s="528"/>
      <c r="B728" s="528"/>
      <c r="C728" s="528"/>
      <c r="D728" s="528"/>
      <c r="E728" s="528"/>
      <c r="F728" s="528"/>
      <c r="G728" s="528"/>
      <c r="H728" s="528"/>
      <c r="I728" s="528"/>
      <c r="J728" s="530"/>
    </row>
    <row r="729" spans="1:10" ht="14.25" x14ac:dyDescent="0.2">
      <c r="A729" s="506">
        <v>561</v>
      </c>
      <c r="B729" s="520">
        <v>41963</v>
      </c>
      <c r="C729" s="506">
        <v>137</v>
      </c>
      <c r="D729" s="506" t="s">
        <v>696</v>
      </c>
      <c r="E729" s="506" t="s">
        <v>516</v>
      </c>
      <c r="F729" s="590" t="s">
        <v>517</v>
      </c>
      <c r="G729" s="506">
        <v>35</v>
      </c>
      <c r="H729" s="506" t="s">
        <v>598</v>
      </c>
      <c r="I729" s="506" t="s">
        <v>519</v>
      </c>
      <c r="J729" s="525">
        <v>-250</v>
      </c>
    </row>
    <row r="730" spans="1:10" ht="14.25" x14ac:dyDescent="0.2">
      <c r="A730" s="506"/>
      <c r="B730" s="520"/>
      <c r="C730" s="506">
        <v>137</v>
      </c>
      <c r="D730" s="506"/>
      <c r="E730" s="506" t="s">
        <v>520</v>
      </c>
      <c r="F730" s="590" t="s">
        <v>521</v>
      </c>
      <c r="G730" s="506">
        <v>35</v>
      </c>
      <c r="H730" s="506" t="s">
        <v>596</v>
      </c>
      <c r="I730" s="506" t="s">
        <v>519</v>
      </c>
      <c r="J730" s="525">
        <v>250</v>
      </c>
    </row>
    <row r="731" spans="1:10" ht="14.25" x14ac:dyDescent="0.2">
      <c r="A731" s="506"/>
      <c r="B731" s="520"/>
      <c r="C731" s="506">
        <v>137</v>
      </c>
      <c r="D731" s="506"/>
      <c r="E731" s="506" t="s">
        <v>516</v>
      </c>
      <c r="F731" s="506"/>
      <c r="G731" s="506">
        <v>35</v>
      </c>
      <c r="H731" s="506" t="s">
        <v>522</v>
      </c>
      <c r="I731" s="506" t="s">
        <v>519</v>
      </c>
      <c r="J731" s="525">
        <v>-200</v>
      </c>
    </row>
    <row r="732" spans="1:10" ht="14.25" x14ac:dyDescent="0.2">
      <c r="A732" s="506"/>
      <c r="B732" s="520"/>
      <c r="C732" s="506">
        <v>137</v>
      </c>
      <c r="D732" s="506"/>
      <c r="E732" s="506" t="s">
        <v>520</v>
      </c>
      <c r="F732" s="506"/>
      <c r="G732" s="506">
        <v>35</v>
      </c>
      <c r="H732" s="506" t="s">
        <v>610</v>
      </c>
      <c r="I732" s="506" t="s">
        <v>519</v>
      </c>
      <c r="J732" s="525">
        <v>200</v>
      </c>
    </row>
    <row r="733" spans="1:10" s="514" customFormat="1" ht="14.25" x14ac:dyDescent="0.2">
      <c r="A733" s="522"/>
      <c r="B733" s="522"/>
      <c r="C733" s="522">
        <v>137</v>
      </c>
      <c r="D733" s="522"/>
      <c r="E733" s="522"/>
      <c r="F733" s="522"/>
      <c r="G733" s="522">
        <v>35</v>
      </c>
      <c r="H733" s="522"/>
      <c r="I733" s="522"/>
      <c r="J733" s="531">
        <f>SUM(J729:J732)</f>
        <v>0</v>
      </c>
    </row>
    <row r="734" spans="1:10" ht="14.25" x14ac:dyDescent="0.2">
      <c r="A734" s="506"/>
      <c r="B734" s="520"/>
      <c r="C734" s="506">
        <v>136</v>
      </c>
      <c r="D734" s="506"/>
      <c r="E734" s="506" t="s">
        <v>516</v>
      </c>
      <c r="F734" s="506"/>
      <c r="G734" s="506">
        <v>35</v>
      </c>
      <c r="H734" s="506" t="s">
        <v>598</v>
      </c>
      <c r="I734" s="506" t="s">
        <v>519</v>
      </c>
      <c r="J734" s="525">
        <v>-3500</v>
      </c>
    </row>
    <row r="735" spans="1:10" ht="14.25" x14ac:dyDescent="0.2">
      <c r="A735" s="506"/>
      <c r="B735" s="520"/>
      <c r="C735" s="506">
        <v>136</v>
      </c>
      <c r="D735" s="506"/>
      <c r="E735" s="506" t="s">
        <v>520</v>
      </c>
      <c r="F735" s="506"/>
      <c r="G735" s="506">
        <v>35</v>
      </c>
      <c r="H735" s="506" t="s">
        <v>596</v>
      </c>
      <c r="I735" s="506" t="s">
        <v>519</v>
      </c>
      <c r="J735" s="525">
        <v>300</v>
      </c>
    </row>
    <row r="736" spans="1:10" ht="14.25" x14ac:dyDescent="0.2">
      <c r="A736" s="506"/>
      <c r="B736" s="520"/>
      <c r="C736" s="506">
        <v>136</v>
      </c>
      <c r="D736" s="506"/>
      <c r="E736" s="506" t="s">
        <v>520</v>
      </c>
      <c r="F736" s="506"/>
      <c r="G736" s="506">
        <v>35</v>
      </c>
      <c r="H736" s="506" t="s">
        <v>597</v>
      </c>
      <c r="I736" s="506" t="s">
        <v>519</v>
      </c>
      <c r="J736" s="525">
        <v>2500</v>
      </c>
    </row>
    <row r="737" spans="1:10" ht="14.25" x14ac:dyDescent="0.2">
      <c r="A737" s="506"/>
      <c r="B737" s="520"/>
      <c r="C737" s="506">
        <v>136</v>
      </c>
      <c r="D737" s="506"/>
      <c r="E737" s="506" t="s">
        <v>520</v>
      </c>
      <c r="F737" s="506"/>
      <c r="G737" s="506">
        <v>35</v>
      </c>
      <c r="H737" s="506" t="s">
        <v>525</v>
      </c>
      <c r="I737" s="506" t="s">
        <v>519</v>
      </c>
      <c r="J737" s="525">
        <v>700</v>
      </c>
    </row>
    <row r="738" spans="1:10" ht="14.25" x14ac:dyDescent="0.2">
      <c r="A738" s="506"/>
      <c r="B738" s="520"/>
      <c r="C738" s="506">
        <v>136</v>
      </c>
      <c r="D738" s="506"/>
      <c r="E738" s="506" t="s">
        <v>516</v>
      </c>
      <c r="F738" s="506"/>
      <c r="G738" s="506">
        <v>35</v>
      </c>
      <c r="H738" s="506" t="s">
        <v>602</v>
      </c>
      <c r="I738" s="506" t="s">
        <v>519</v>
      </c>
      <c r="J738" s="525">
        <v>-400</v>
      </c>
    </row>
    <row r="739" spans="1:10" ht="14.25" x14ac:dyDescent="0.2">
      <c r="A739" s="506"/>
      <c r="B739" s="520"/>
      <c r="C739" s="506">
        <v>136</v>
      </c>
      <c r="D739" s="506"/>
      <c r="E739" s="506" t="s">
        <v>520</v>
      </c>
      <c r="F739" s="506"/>
      <c r="G739" s="506">
        <v>35</v>
      </c>
      <c r="H739" s="506" t="s">
        <v>601</v>
      </c>
      <c r="I739" s="506" t="s">
        <v>519</v>
      </c>
      <c r="J739" s="525">
        <v>400</v>
      </c>
    </row>
    <row r="740" spans="1:10" s="514" customFormat="1" ht="14.25" x14ac:dyDescent="0.2">
      <c r="A740" s="522"/>
      <c r="B740" s="522"/>
      <c r="C740" s="522">
        <v>136</v>
      </c>
      <c r="D740" s="522"/>
      <c r="E740" s="522"/>
      <c r="F740" s="522"/>
      <c r="G740" s="522">
        <v>35</v>
      </c>
      <c r="H740" s="522"/>
      <c r="I740" s="522"/>
      <c r="J740" s="531">
        <f>SUM(J734:J739)</f>
        <v>0</v>
      </c>
    </row>
    <row r="741" spans="1:10" ht="14.25" x14ac:dyDescent="0.2">
      <c r="A741" s="506"/>
      <c r="B741" s="520"/>
      <c r="C741" s="506">
        <v>132</v>
      </c>
      <c r="D741" s="506"/>
      <c r="E741" s="506" t="s">
        <v>516</v>
      </c>
      <c r="F741" s="506"/>
      <c r="G741" s="506">
        <v>35</v>
      </c>
      <c r="H741" s="506" t="s">
        <v>604</v>
      </c>
      <c r="I741" s="506" t="s">
        <v>519</v>
      </c>
      <c r="J741" s="525">
        <v>-2700</v>
      </c>
    </row>
    <row r="742" spans="1:10" ht="14.25" x14ac:dyDescent="0.2">
      <c r="A742" s="506"/>
      <c r="B742" s="520"/>
      <c r="C742" s="506">
        <v>132</v>
      </c>
      <c r="D742" s="506"/>
      <c r="E742" s="506" t="s">
        <v>520</v>
      </c>
      <c r="F742" s="506"/>
      <c r="G742" s="506">
        <v>35</v>
      </c>
      <c r="H742" s="506" t="s">
        <v>557</v>
      </c>
      <c r="I742" s="506" t="s">
        <v>519</v>
      </c>
      <c r="J742" s="525">
        <v>1000</v>
      </c>
    </row>
    <row r="743" spans="1:10" ht="14.25" x14ac:dyDescent="0.2">
      <c r="A743" s="506"/>
      <c r="B743" s="520"/>
      <c r="C743" s="506">
        <v>132</v>
      </c>
      <c r="D743" s="506"/>
      <c r="E743" s="506" t="s">
        <v>520</v>
      </c>
      <c r="F743" s="506"/>
      <c r="G743" s="506">
        <v>35</v>
      </c>
      <c r="H743" s="506" t="s">
        <v>607</v>
      </c>
      <c r="I743" s="506" t="s">
        <v>519</v>
      </c>
      <c r="J743" s="525">
        <v>1700</v>
      </c>
    </row>
    <row r="744" spans="1:10" ht="14.25" x14ac:dyDescent="0.2">
      <c r="A744" s="506"/>
      <c r="B744" s="520"/>
      <c r="C744" s="506">
        <v>132</v>
      </c>
      <c r="D744" s="506"/>
      <c r="E744" s="506" t="s">
        <v>516</v>
      </c>
      <c r="F744" s="506"/>
      <c r="G744" s="506">
        <v>35</v>
      </c>
      <c r="H744" s="506" t="s">
        <v>609</v>
      </c>
      <c r="I744" s="506" t="s">
        <v>519</v>
      </c>
      <c r="J744" s="525">
        <v>-4600</v>
      </c>
    </row>
    <row r="745" spans="1:10" ht="14.25" x14ac:dyDescent="0.2">
      <c r="A745" s="506"/>
      <c r="B745" s="520"/>
      <c r="C745" s="506">
        <v>132</v>
      </c>
      <c r="D745" s="506"/>
      <c r="E745" s="506" t="s">
        <v>520</v>
      </c>
      <c r="F745" s="506"/>
      <c r="G745" s="506">
        <v>35</v>
      </c>
      <c r="H745" s="506" t="s">
        <v>611</v>
      </c>
      <c r="I745" s="506" t="s">
        <v>519</v>
      </c>
      <c r="J745" s="525">
        <v>2000</v>
      </c>
    </row>
    <row r="746" spans="1:10" ht="14.25" x14ac:dyDescent="0.2">
      <c r="A746" s="506"/>
      <c r="B746" s="520"/>
      <c r="C746" s="506">
        <v>132</v>
      </c>
      <c r="D746" s="506"/>
      <c r="E746" s="506" t="s">
        <v>520</v>
      </c>
      <c r="F746" s="506"/>
      <c r="G746" s="506">
        <v>35</v>
      </c>
      <c r="H746" s="506" t="s">
        <v>697</v>
      </c>
      <c r="I746" s="506" t="s">
        <v>519</v>
      </c>
      <c r="J746" s="525">
        <v>2600</v>
      </c>
    </row>
    <row r="747" spans="1:10" s="514" customFormat="1" ht="14.25" x14ac:dyDescent="0.2">
      <c r="A747" s="522"/>
      <c r="B747" s="522"/>
      <c r="C747" s="522">
        <v>132</v>
      </c>
      <c r="D747" s="522"/>
      <c r="E747" s="522"/>
      <c r="F747" s="522"/>
      <c r="G747" s="522">
        <v>35</v>
      </c>
      <c r="H747" s="522"/>
      <c r="I747" s="522"/>
      <c r="J747" s="531">
        <f>SUM(J741:J746)</f>
        <v>0</v>
      </c>
    </row>
    <row r="748" spans="1:10" s="546" customFormat="1" ht="15" x14ac:dyDescent="0.25">
      <c r="A748" s="510" t="s">
        <v>698</v>
      </c>
      <c r="B748" s="550"/>
      <c r="C748" s="550"/>
      <c r="D748" s="550"/>
      <c r="E748" s="550"/>
      <c r="F748" s="550"/>
      <c r="G748" s="550">
        <v>35</v>
      </c>
      <c r="H748" s="550"/>
      <c r="I748" s="550"/>
      <c r="J748" s="552">
        <v>0</v>
      </c>
    </row>
    <row r="749" spans="1:10" ht="14.25" x14ac:dyDescent="0.2">
      <c r="A749" s="528"/>
      <c r="B749" s="528"/>
      <c r="C749" s="528"/>
      <c r="D749" s="528"/>
      <c r="E749" s="528"/>
      <c r="F749" s="528"/>
      <c r="G749" s="528"/>
      <c r="H749" s="528"/>
      <c r="I749" s="528"/>
      <c r="J749" s="530"/>
    </row>
    <row r="750" spans="1:10" ht="14.25" x14ac:dyDescent="0.2">
      <c r="A750" s="506">
        <v>563</v>
      </c>
      <c r="B750" s="520">
        <v>41967</v>
      </c>
      <c r="C750" s="506">
        <v>132</v>
      </c>
      <c r="D750" s="506" t="s">
        <v>699</v>
      </c>
      <c r="E750" s="506" t="s">
        <v>520</v>
      </c>
      <c r="F750" s="590" t="s">
        <v>517</v>
      </c>
      <c r="G750" s="506">
        <v>43</v>
      </c>
      <c r="H750" s="506" t="s">
        <v>676</v>
      </c>
      <c r="I750" s="506" t="s">
        <v>519</v>
      </c>
      <c r="J750" s="525">
        <v>46920</v>
      </c>
    </row>
    <row r="751" spans="1:10" ht="14.25" x14ac:dyDescent="0.2">
      <c r="A751" s="506"/>
      <c r="B751" s="520"/>
      <c r="C751" s="506">
        <v>132</v>
      </c>
      <c r="D751" s="506"/>
      <c r="E751" s="506" t="s">
        <v>516</v>
      </c>
      <c r="F751" s="590" t="s">
        <v>521</v>
      </c>
      <c r="G751" s="506">
        <v>43</v>
      </c>
      <c r="H751" s="506" t="s">
        <v>573</v>
      </c>
      <c r="I751" s="506" t="s">
        <v>519</v>
      </c>
      <c r="J751" s="525">
        <v>-48920</v>
      </c>
    </row>
    <row r="752" spans="1:10" ht="14.25" x14ac:dyDescent="0.2">
      <c r="A752" s="506"/>
      <c r="B752" s="506"/>
      <c r="C752" s="506">
        <v>132</v>
      </c>
      <c r="D752" s="506"/>
      <c r="E752" s="506"/>
      <c r="F752" s="506"/>
      <c r="G752" s="506">
        <v>43</v>
      </c>
      <c r="H752" s="506"/>
      <c r="I752" s="506"/>
      <c r="J752" s="525">
        <v>-2000</v>
      </c>
    </row>
    <row r="753" spans="1:10" ht="14.25" x14ac:dyDescent="0.2">
      <c r="A753" s="506"/>
      <c r="B753" s="520"/>
      <c r="C753" s="506">
        <v>132</v>
      </c>
      <c r="D753" s="506"/>
      <c r="E753" s="506" t="s">
        <v>520</v>
      </c>
      <c r="F753" s="506"/>
      <c r="G753" s="506">
        <v>80</v>
      </c>
      <c r="H753" s="506" t="s">
        <v>560</v>
      </c>
      <c r="I753" s="506" t="s">
        <v>519</v>
      </c>
      <c r="J753" s="525">
        <v>2000</v>
      </c>
    </row>
    <row r="754" spans="1:10" ht="14.25" x14ac:dyDescent="0.2">
      <c r="A754" s="532"/>
      <c r="B754" s="506"/>
      <c r="C754" s="506">
        <v>132</v>
      </c>
      <c r="D754" s="506"/>
      <c r="E754" s="506"/>
      <c r="F754" s="506"/>
      <c r="G754" s="506">
        <v>80</v>
      </c>
      <c r="H754" s="506"/>
      <c r="I754" s="506"/>
      <c r="J754" s="525">
        <f>SUM(J753)</f>
        <v>2000</v>
      </c>
    </row>
    <row r="755" spans="1:10" ht="15" x14ac:dyDescent="0.25">
      <c r="A755" s="532" t="s">
        <v>700</v>
      </c>
      <c r="B755" s="506"/>
      <c r="C755" s="537">
        <v>132</v>
      </c>
      <c r="D755" s="537"/>
      <c r="E755" s="537"/>
      <c r="F755" s="537"/>
      <c r="G755" s="537"/>
      <c r="H755" s="537"/>
      <c r="I755" s="537"/>
      <c r="J755" s="554">
        <f>SUM(J752+J754)</f>
        <v>0</v>
      </c>
    </row>
    <row r="756" spans="1:10" x14ac:dyDescent="0.2">
      <c r="A756" s="569"/>
      <c r="B756" s="569"/>
      <c r="C756" s="569"/>
      <c r="D756" s="569"/>
      <c r="E756" s="569"/>
      <c r="F756" s="569"/>
      <c r="G756" s="569"/>
      <c r="H756" s="569"/>
      <c r="I756" s="569"/>
      <c r="J756" s="601"/>
    </row>
    <row r="757" spans="1:10" ht="14.25" x14ac:dyDescent="0.2">
      <c r="A757" s="506">
        <v>577</v>
      </c>
      <c r="B757" s="520">
        <v>41969</v>
      </c>
      <c r="C757" s="506">
        <v>132</v>
      </c>
      <c r="D757" s="506" t="s">
        <v>701</v>
      </c>
      <c r="E757" s="506" t="s">
        <v>516</v>
      </c>
      <c r="F757" s="590" t="s">
        <v>517</v>
      </c>
      <c r="G757" s="506">
        <v>31</v>
      </c>
      <c r="H757" s="506" t="s">
        <v>529</v>
      </c>
      <c r="I757" s="506" t="s">
        <v>519</v>
      </c>
      <c r="J757" s="525">
        <v>-35000</v>
      </c>
    </row>
    <row r="758" spans="1:10" ht="14.25" x14ac:dyDescent="0.2">
      <c r="A758" s="506"/>
      <c r="B758" s="520"/>
      <c r="C758" s="506">
        <v>132</v>
      </c>
      <c r="D758" s="506"/>
      <c r="E758" s="506" t="s">
        <v>516</v>
      </c>
      <c r="F758" s="590" t="s">
        <v>521</v>
      </c>
      <c r="G758" s="506"/>
      <c r="H758" s="506" t="s">
        <v>552</v>
      </c>
      <c r="I758" s="506" t="s">
        <v>519</v>
      </c>
      <c r="J758" s="525">
        <v>-10000</v>
      </c>
    </row>
    <row r="759" spans="1:10" ht="14.25" x14ac:dyDescent="0.2">
      <c r="A759" s="506"/>
      <c r="B759" s="506"/>
      <c r="C759" s="506">
        <v>132</v>
      </c>
      <c r="D759" s="506"/>
      <c r="E759" s="506" t="s">
        <v>520</v>
      </c>
      <c r="F759" s="506"/>
      <c r="G759" s="506"/>
      <c r="H759" s="506" t="s">
        <v>614</v>
      </c>
      <c r="I759" s="506" t="s">
        <v>519</v>
      </c>
      <c r="J759" s="525">
        <v>25000</v>
      </c>
    </row>
    <row r="760" spans="1:10" ht="14.25" x14ac:dyDescent="0.2">
      <c r="A760" s="506"/>
      <c r="B760" s="520"/>
      <c r="C760" s="506">
        <v>132</v>
      </c>
      <c r="D760" s="506"/>
      <c r="E760" s="506" t="s">
        <v>520</v>
      </c>
      <c r="F760" s="506"/>
      <c r="G760" s="506"/>
      <c r="H760" s="506" t="s">
        <v>532</v>
      </c>
      <c r="I760" s="506" t="s">
        <v>519</v>
      </c>
      <c r="J760" s="525">
        <v>10000</v>
      </c>
    </row>
    <row r="761" spans="1:10" ht="14.25" x14ac:dyDescent="0.2">
      <c r="A761" s="532"/>
      <c r="B761" s="506"/>
      <c r="C761" s="506">
        <v>132</v>
      </c>
      <c r="D761" s="506"/>
      <c r="E761" s="506" t="s">
        <v>520</v>
      </c>
      <c r="F761" s="506"/>
      <c r="G761" s="506"/>
      <c r="H761" s="506" t="s">
        <v>551</v>
      </c>
      <c r="I761" s="506"/>
      <c r="J761" s="525">
        <f>SUM(J760)</f>
        <v>10000</v>
      </c>
    </row>
    <row r="762" spans="1:10" ht="15.75" thickBot="1" x14ac:dyDescent="0.3">
      <c r="A762" s="532" t="s">
        <v>702</v>
      </c>
      <c r="B762" s="506"/>
      <c r="C762" s="537">
        <v>132</v>
      </c>
      <c r="D762" s="537"/>
      <c r="E762" s="537"/>
      <c r="F762" s="537"/>
      <c r="G762" s="537">
        <v>31</v>
      </c>
      <c r="H762" s="537"/>
      <c r="I762" s="537"/>
      <c r="J762" s="554">
        <f>SUM(J757:J761)</f>
        <v>0</v>
      </c>
    </row>
    <row r="763" spans="1:10" ht="13.5" thickTop="1" x14ac:dyDescent="0.2">
      <c r="A763" s="533"/>
      <c r="B763" s="533"/>
      <c r="C763" s="533"/>
      <c r="D763" s="533"/>
      <c r="E763" s="533"/>
      <c r="F763" s="533"/>
      <c r="G763" s="533"/>
      <c r="H763" s="533"/>
      <c r="I763" s="533"/>
      <c r="J763" s="609"/>
    </row>
    <row r="764" spans="1:10" ht="14.25" x14ac:dyDescent="0.2">
      <c r="A764" s="506">
        <v>645</v>
      </c>
      <c r="B764" s="520">
        <v>41985</v>
      </c>
      <c r="C764" s="506">
        <v>132</v>
      </c>
      <c r="D764" s="506" t="s">
        <v>703</v>
      </c>
      <c r="E764" s="506" t="s">
        <v>516</v>
      </c>
      <c r="F764" s="590" t="s">
        <v>517</v>
      </c>
      <c r="G764" s="506">
        <v>110</v>
      </c>
      <c r="H764" s="506" t="s">
        <v>704</v>
      </c>
      <c r="I764" s="506" t="s">
        <v>519</v>
      </c>
      <c r="J764" s="525">
        <v>-1500</v>
      </c>
    </row>
    <row r="765" spans="1:10" ht="14.25" x14ac:dyDescent="0.2">
      <c r="A765" s="506"/>
      <c r="B765" s="520"/>
      <c r="C765" s="506">
        <v>132</v>
      </c>
      <c r="D765" s="506"/>
      <c r="E765" s="506" t="s">
        <v>520</v>
      </c>
      <c r="F765" s="590" t="s">
        <v>521</v>
      </c>
      <c r="G765" s="506">
        <v>110</v>
      </c>
      <c r="H765" s="506" t="s">
        <v>705</v>
      </c>
      <c r="I765" s="506" t="s">
        <v>519</v>
      </c>
      <c r="J765" s="525">
        <v>1500</v>
      </c>
    </row>
    <row r="766" spans="1:10" ht="15" x14ac:dyDescent="0.25">
      <c r="A766" s="510" t="s">
        <v>706</v>
      </c>
      <c r="B766" s="608"/>
      <c r="C766" s="550">
        <v>132</v>
      </c>
      <c r="D766" s="550"/>
      <c r="E766" s="550"/>
      <c r="F766" s="550"/>
      <c r="G766" s="550">
        <v>110</v>
      </c>
      <c r="H766" s="550"/>
      <c r="I766" s="550"/>
      <c r="J766" s="552">
        <v>0</v>
      </c>
    </row>
    <row r="767" spans="1:10" x14ac:dyDescent="0.2">
      <c r="A767" s="569"/>
      <c r="B767" s="569"/>
      <c r="C767" s="569"/>
      <c r="D767" s="569"/>
      <c r="E767" s="569"/>
      <c r="F767" s="569"/>
      <c r="G767" s="569"/>
      <c r="H767" s="569"/>
      <c r="I767" s="569"/>
      <c r="J767" s="569"/>
    </row>
    <row r="768" spans="1:10" ht="14.25" x14ac:dyDescent="0.2">
      <c r="A768" s="506">
        <v>647</v>
      </c>
      <c r="B768" s="520">
        <v>41985</v>
      </c>
      <c r="C768" s="506">
        <v>132</v>
      </c>
      <c r="D768" s="506" t="s">
        <v>707</v>
      </c>
      <c r="E768" s="506" t="s">
        <v>516</v>
      </c>
      <c r="F768" s="590" t="s">
        <v>517</v>
      </c>
      <c r="G768" s="506">
        <v>120</v>
      </c>
      <c r="H768" s="506" t="s">
        <v>705</v>
      </c>
      <c r="I768" s="506" t="s">
        <v>519</v>
      </c>
      <c r="J768" s="534">
        <v>-1600</v>
      </c>
    </row>
    <row r="769" spans="1:10" ht="14.25" x14ac:dyDescent="0.2">
      <c r="A769" s="506"/>
      <c r="B769" s="520"/>
      <c r="C769" s="506">
        <v>132</v>
      </c>
      <c r="D769" s="506"/>
      <c r="E769" s="506" t="s">
        <v>520</v>
      </c>
      <c r="F769" s="590" t="s">
        <v>521</v>
      </c>
      <c r="G769" s="506">
        <v>120</v>
      </c>
      <c r="H769" s="506" t="s">
        <v>598</v>
      </c>
      <c r="I769" s="506" t="s">
        <v>519</v>
      </c>
      <c r="J769" s="534">
        <v>1600</v>
      </c>
    </row>
    <row r="770" spans="1:10" ht="15" x14ac:dyDescent="0.25">
      <c r="A770" s="510" t="s">
        <v>708</v>
      </c>
      <c r="B770" s="608"/>
      <c r="C770" s="550">
        <v>132</v>
      </c>
      <c r="D770" s="550"/>
      <c r="E770" s="550"/>
      <c r="F770" s="610"/>
      <c r="G770" s="550">
        <v>120</v>
      </c>
      <c r="H770" s="550"/>
      <c r="I770" s="550"/>
      <c r="J770" s="551">
        <v>0</v>
      </c>
    </row>
    <row r="771" spans="1:10" x14ac:dyDescent="0.2">
      <c r="A771" s="569"/>
      <c r="B771" s="569"/>
      <c r="C771" s="569"/>
      <c r="D771" s="569"/>
      <c r="E771" s="569"/>
      <c r="F771" s="569"/>
      <c r="G771" s="569"/>
      <c r="H771" s="569"/>
      <c r="I771" s="569"/>
      <c r="J771" s="569"/>
    </row>
    <row r="772" spans="1:10" ht="14.25" x14ac:dyDescent="0.2">
      <c r="A772" s="506">
        <v>648</v>
      </c>
      <c r="B772" s="520">
        <v>41985</v>
      </c>
      <c r="C772" s="506">
        <v>132</v>
      </c>
      <c r="D772" s="506" t="s">
        <v>709</v>
      </c>
      <c r="E772" s="506" t="s">
        <v>516</v>
      </c>
      <c r="F772" s="590" t="s">
        <v>517</v>
      </c>
      <c r="G772" s="506">
        <v>31</v>
      </c>
      <c r="H772" s="506" t="s">
        <v>529</v>
      </c>
      <c r="I772" s="506" t="s">
        <v>519</v>
      </c>
      <c r="J772" s="525">
        <v>-6000</v>
      </c>
    </row>
    <row r="773" spans="1:10" ht="14.25" x14ac:dyDescent="0.2">
      <c r="A773" s="506"/>
      <c r="B773" s="520"/>
      <c r="C773" s="506">
        <v>132</v>
      </c>
      <c r="D773" s="506"/>
      <c r="E773" s="506" t="s">
        <v>520</v>
      </c>
      <c r="F773" s="590" t="s">
        <v>521</v>
      </c>
      <c r="G773" s="506">
        <v>31</v>
      </c>
      <c r="H773" s="506" t="s">
        <v>626</v>
      </c>
      <c r="I773" s="506" t="s">
        <v>519</v>
      </c>
      <c r="J773" s="525">
        <v>6000</v>
      </c>
    </row>
    <row r="774" spans="1:10" ht="15" x14ac:dyDescent="0.25">
      <c r="A774" s="510" t="s">
        <v>710</v>
      </c>
      <c r="B774" s="608"/>
      <c r="C774" s="550">
        <v>132</v>
      </c>
      <c r="D774" s="550"/>
      <c r="E774" s="550"/>
      <c r="F774" s="550"/>
      <c r="G774" s="550">
        <v>31</v>
      </c>
      <c r="H774" s="550"/>
      <c r="I774" s="550"/>
      <c r="J774" s="552">
        <v>0</v>
      </c>
    </row>
    <row r="775" spans="1:10" x14ac:dyDescent="0.2">
      <c r="A775" s="569"/>
      <c r="B775" s="569"/>
      <c r="C775" s="569"/>
      <c r="D775" s="569"/>
      <c r="E775" s="569"/>
      <c r="F775" s="569"/>
      <c r="G775" s="569"/>
      <c r="H775" s="569"/>
      <c r="I775" s="569"/>
      <c r="J775" s="569"/>
    </row>
    <row r="776" spans="1:10" ht="14.25" x14ac:dyDescent="0.2">
      <c r="A776" s="506">
        <v>653</v>
      </c>
      <c r="B776" s="520">
        <v>41988</v>
      </c>
      <c r="C776" s="506">
        <v>132</v>
      </c>
      <c r="D776" s="506" t="s">
        <v>711</v>
      </c>
      <c r="E776" s="506" t="s">
        <v>516</v>
      </c>
      <c r="F776" s="590" t="s">
        <v>517</v>
      </c>
      <c r="G776" s="506">
        <v>80</v>
      </c>
      <c r="H776" s="506" t="s">
        <v>609</v>
      </c>
      <c r="I776" s="506" t="s">
        <v>519</v>
      </c>
      <c r="J776" s="525">
        <v>-2000</v>
      </c>
    </row>
    <row r="777" spans="1:10" ht="14.25" x14ac:dyDescent="0.2">
      <c r="A777" s="506"/>
      <c r="B777" s="520"/>
      <c r="C777" s="506">
        <v>132</v>
      </c>
      <c r="D777" s="506"/>
      <c r="E777" s="506" t="s">
        <v>520</v>
      </c>
      <c r="F777" s="590" t="s">
        <v>521</v>
      </c>
      <c r="G777" s="506">
        <v>80</v>
      </c>
      <c r="H777" s="506" t="s">
        <v>705</v>
      </c>
      <c r="I777" s="506" t="s">
        <v>519</v>
      </c>
      <c r="J777" s="525">
        <v>2000</v>
      </c>
    </row>
    <row r="778" spans="1:10" ht="15" x14ac:dyDescent="0.25">
      <c r="A778" s="510" t="s">
        <v>712</v>
      </c>
      <c r="B778" s="608"/>
      <c r="C778" s="550">
        <v>132</v>
      </c>
      <c r="D778" s="550"/>
      <c r="E778" s="550"/>
      <c r="F778" s="550"/>
      <c r="G778" s="550">
        <v>80</v>
      </c>
      <c r="H778" s="550"/>
      <c r="I778" s="550"/>
      <c r="J778" s="552">
        <v>0</v>
      </c>
    </row>
    <row r="779" spans="1:10" x14ac:dyDescent="0.2">
      <c r="A779" s="569"/>
      <c r="B779" s="569"/>
      <c r="C779" s="569"/>
      <c r="D779" s="569"/>
      <c r="E779" s="569"/>
      <c r="F779" s="569"/>
      <c r="G779" s="569"/>
      <c r="H779" s="569"/>
      <c r="I779" s="569"/>
      <c r="J779" s="569"/>
    </row>
    <row r="780" spans="1:10" ht="14.25" x14ac:dyDescent="0.2">
      <c r="A780" s="506">
        <v>654</v>
      </c>
      <c r="B780" s="520">
        <v>41988</v>
      </c>
      <c r="C780" s="506">
        <v>137</v>
      </c>
      <c r="D780" s="506" t="s">
        <v>713</v>
      </c>
      <c r="E780" s="506" t="s">
        <v>516</v>
      </c>
      <c r="F780" s="590" t="s">
        <v>517</v>
      </c>
      <c r="G780" s="506">
        <v>35</v>
      </c>
      <c r="H780" s="506" t="s">
        <v>598</v>
      </c>
      <c r="I780" s="506" t="s">
        <v>519</v>
      </c>
      <c r="J780" s="525">
        <v>-400</v>
      </c>
    </row>
    <row r="781" spans="1:10" ht="14.25" x14ac:dyDescent="0.2">
      <c r="A781" s="506"/>
      <c r="B781" s="520"/>
      <c r="C781" s="506">
        <v>137</v>
      </c>
      <c r="D781" s="506"/>
      <c r="E781" s="506" t="s">
        <v>520</v>
      </c>
      <c r="F781" s="590" t="s">
        <v>521</v>
      </c>
      <c r="G781" s="506">
        <v>35</v>
      </c>
      <c r="H781" s="506" t="s">
        <v>596</v>
      </c>
      <c r="I781" s="506" t="s">
        <v>519</v>
      </c>
      <c r="J781" s="525">
        <v>400</v>
      </c>
    </row>
    <row r="782" spans="1:10" ht="15" x14ac:dyDescent="0.25">
      <c r="A782" s="506"/>
      <c r="B782" s="506"/>
      <c r="C782" s="537">
        <v>137</v>
      </c>
      <c r="D782" s="537"/>
      <c r="E782" s="537"/>
      <c r="F782" s="537"/>
      <c r="G782" s="537">
        <v>35</v>
      </c>
      <c r="H782" s="537"/>
      <c r="I782" s="537"/>
      <c r="J782" s="554">
        <v>0</v>
      </c>
    </row>
    <row r="783" spans="1:10" ht="14.25" x14ac:dyDescent="0.2">
      <c r="A783" s="506"/>
      <c r="B783" s="520"/>
      <c r="C783" s="506">
        <v>136</v>
      </c>
      <c r="D783" s="506"/>
      <c r="E783" s="506" t="s">
        <v>516</v>
      </c>
      <c r="F783" s="506"/>
      <c r="G783" s="506">
        <v>35</v>
      </c>
      <c r="H783" s="506" t="s">
        <v>526</v>
      </c>
      <c r="I783" s="506" t="s">
        <v>519</v>
      </c>
      <c r="J783" s="525">
        <v>-400</v>
      </c>
    </row>
    <row r="784" spans="1:10" ht="14.25" x14ac:dyDescent="0.2">
      <c r="A784" s="506"/>
      <c r="B784" s="520"/>
      <c r="C784" s="506">
        <v>136</v>
      </c>
      <c r="D784" s="506"/>
      <c r="E784" s="506" t="s">
        <v>520</v>
      </c>
      <c r="F784" s="506"/>
      <c r="G784" s="506">
        <v>35</v>
      </c>
      <c r="H784" s="506" t="s">
        <v>596</v>
      </c>
      <c r="I784" s="506" t="s">
        <v>519</v>
      </c>
      <c r="J784" s="525">
        <v>400</v>
      </c>
    </row>
    <row r="785" spans="1:13" ht="14.25" x14ac:dyDescent="0.2">
      <c r="A785" s="506"/>
      <c r="B785" s="520"/>
      <c r="C785" s="506">
        <v>136</v>
      </c>
      <c r="D785" s="506"/>
      <c r="E785" s="506" t="s">
        <v>516</v>
      </c>
      <c r="F785" s="506"/>
      <c r="G785" s="506">
        <v>35</v>
      </c>
      <c r="H785" s="506" t="s">
        <v>598</v>
      </c>
      <c r="I785" s="506" t="s">
        <v>519</v>
      </c>
      <c r="J785" s="525">
        <v>-2000</v>
      </c>
    </row>
    <row r="786" spans="1:13" ht="14.25" x14ac:dyDescent="0.2">
      <c r="A786" s="506"/>
      <c r="B786" s="520"/>
      <c r="C786" s="506">
        <v>136</v>
      </c>
      <c r="D786" s="506"/>
      <c r="E786" s="506" t="s">
        <v>520</v>
      </c>
      <c r="F786" s="506"/>
      <c r="G786" s="506">
        <v>35</v>
      </c>
      <c r="H786" s="506" t="s">
        <v>610</v>
      </c>
      <c r="I786" s="506" t="s">
        <v>519</v>
      </c>
      <c r="J786" s="525">
        <v>2000</v>
      </c>
    </row>
    <row r="787" spans="1:13" ht="15" x14ac:dyDescent="0.25">
      <c r="A787" s="506"/>
      <c r="B787" s="506"/>
      <c r="C787" s="537">
        <v>136</v>
      </c>
      <c r="D787" s="537"/>
      <c r="E787" s="537"/>
      <c r="F787" s="537"/>
      <c r="G787" s="537">
        <v>35</v>
      </c>
      <c r="H787" s="537"/>
      <c r="I787" s="537"/>
      <c r="J787" s="554">
        <v>0</v>
      </c>
    </row>
    <row r="788" spans="1:13" ht="14.25" x14ac:dyDescent="0.2">
      <c r="A788" s="506"/>
      <c r="B788" s="520"/>
      <c r="C788" s="506">
        <v>132</v>
      </c>
      <c r="D788" s="506"/>
      <c r="E788" s="506" t="s">
        <v>516</v>
      </c>
      <c r="F788" s="506"/>
      <c r="G788" s="506">
        <v>35</v>
      </c>
      <c r="H788" s="506" t="s">
        <v>556</v>
      </c>
      <c r="I788" s="506" t="s">
        <v>519</v>
      </c>
      <c r="J788" s="525">
        <v>-2000</v>
      </c>
    </row>
    <row r="789" spans="1:13" ht="14.25" x14ac:dyDescent="0.2">
      <c r="A789" s="506"/>
      <c r="B789" s="520"/>
      <c r="C789" s="506">
        <v>132</v>
      </c>
      <c r="D789" s="506"/>
      <c r="E789" s="506" t="s">
        <v>520</v>
      </c>
      <c r="F789" s="506"/>
      <c r="G789" s="506">
        <v>35</v>
      </c>
      <c r="H789" s="506" t="s">
        <v>599</v>
      </c>
      <c r="I789" s="506" t="s">
        <v>519</v>
      </c>
      <c r="J789" s="525">
        <v>2000</v>
      </c>
    </row>
    <row r="790" spans="1:13" ht="14.25" x14ac:dyDescent="0.2">
      <c r="A790" s="506"/>
      <c r="B790" s="520"/>
      <c r="C790" s="506">
        <v>132</v>
      </c>
      <c r="D790" s="506"/>
      <c r="E790" s="506" t="s">
        <v>516</v>
      </c>
      <c r="F790" s="506"/>
      <c r="G790" s="506">
        <v>35</v>
      </c>
      <c r="H790" s="506" t="s">
        <v>555</v>
      </c>
      <c r="I790" s="506" t="s">
        <v>519</v>
      </c>
      <c r="J790" s="525">
        <v>-600</v>
      </c>
    </row>
    <row r="791" spans="1:13" ht="14.25" x14ac:dyDescent="0.2">
      <c r="A791" s="506"/>
      <c r="B791" s="520"/>
      <c r="C791" s="506">
        <v>132</v>
      </c>
      <c r="D791" s="506"/>
      <c r="E791" s="506" t="s">
        <v>520</v>
      </c>
      <c r="F791" s="506"/>
      <c r="G791" s="506">
        <v>35</v>
      </c>
      <c r="H791" s="506" t="s">
        <v>607</v>
      </c>
      <c r="I791" s="506" t="s">
        <v>519</v>
      </c>
      <c r="J791" s="525">
        <v>600</v>
      </c>
    </row>
    <row r="792" spans="1:13" ht="15" x14ac:dyDescent="0.25">
      <c r="A792" s="510" t="s">
        <v>714</v>
      </c>
      <c r="B792" s="608"/>
      <c r="C792" s="550">
        <v>132</v>
      </c>
      <c r="D792" s="550"/>
      <c r="E792" s="550"/>
      <c r="F792" s="550"/>
      <c r="G792" s="550">
        <v>35</v>
      </c>
      <c r="H792" s="550"/>
      <c r="I792" s="550"/>
      <c r="J792" s="552">
        <v>0</v>
      </c>
    </row>
    <row r="793" spans="1:13" x14ac:dyDescent="0.2">
      <c r="A793" s="569"/>
      <c r="B793" s="569"/>
      <c r="C793" s="569"/>
      <c r="D793" s="569"/>
      <c r="E793" s="569"/>
      <c r="F793" s="569"/>
      <c r="G793" s="569"/>
      <c r="H793" s="569"/>
      <c r="I793" s="569"/>
      <c r="J793" s="569"/>
    </row>
    <row r="794" spans="1:13" ht="14.25" x14ac:dyDescent="0.2">
      <c r="A794" s="506">
        <v>681</v>
      </c>
      <c r="B794" s="520">
        <v>41992</v>
      </c>
      <c r="C794" s="506">
        <v>137</v>
      </c>
      <c r="D794" s="506" t="s">
        <v>715</v>
      </c>
      <c r="E794" s="506" t="s">
        <v>516</v>
      </c>
      <c r="F794" s="590" t="s">
        <v>517</v>
      </c>
      <c r="G794" s="506">
        <v>43</v>
      </c>
      <c r="H794" s="506" t="s">
        <v>571</v>
      </c>
      <c r="I794" s="506" t="s">
        <v>519</v>
      </c>
      <c r="J794" s="525">
        <v>-920</v>
      </c>
    </row>
    <row r="795" spans="1:13" ht="14.25" x14ac:dyDescent="0.2">
      <c r="A795" s="506"/>
      <c r="B795" s="506"/>
      <c r="C795" s="522">
        <v>137</v>
      </c>
      <c r="D795" s="506"/>
      <c r="E795" s="506"/>
      <c r="F795" s="590" t="s">
        <v>521</v>
      </c>
      <c r="G795" s="522">
        <v>43</v>
      </c>
      <c r="H795" s="522"/>
      <c r="I795" s="522"/>
      <c r="J795" s="531">
        <f>SUM(J794)</f>
        <v>-920</v>
      </c>
    </row>
    <row r="796" spans="1:13" ht="14.25" x14ac:dyDescent="0.2">
      <c r="A796" s="506"/>
      <c r="B796" s="520"/>
      <c r="C796" s="506">
        <v>136</v>
      </c>
      <c r="D796" s="506"/>
      <c r="E796" s="506" t="s">
        <v>516</v>
      </c>
      <c r="F796" s="506"/>
      <c r="G796" s="506">
        <v>43</v>
      </c>
      <c r="H796" s="506" t="s">
        <v>571</v>
      </c>
      <c r="I796" s="506" t="s">
        <v>519</v>
      </c>
      <c r="J796" s="525">
        <v>-799</v>
      </c>
    </row>
    <row r="797" spans="1:13" ht="14.25" x14ac:dyDescent="0.2">
      <c r="A797" s="506"/>
      <c r="B797" s="506"/>
      <c r="C797" s="522">
        <v>136</v>
      </c>
      <c r="D797" s="522"/>
      <c r="E797" s="522"/>
      <c r="F797" s="522"/>
      <c r="G797" s="522">
        <v>43</v>
      </c>
      <c r="H797" s="522"/>
      <c r="I797" s="522"/>
      <c r="J797" s="531">
        <f>SUM(J796)</f>
        <v>-799</v>
      </c>
    </row>
    <row r="798" spans="1:13" ht="14.25" x14ac:dyDescent="0.2">
      <c r="A798" s="506"/>
      <c r="B798" s="520"/>
      <c r="C798" s="506">
        <v>132</v>
      </c>
      <c r="D798" s="506"/>
      <c r="E798" s="506" t="s">
        <v>516</v>
      </c>
      <c r="F798" s="506"/>
      <c r="G798" s="506">
        <v>43</v>
      </c>
      <c r="H798" s="506" t="s">
        <v>565</v>
      </c>
      <c r="I798" s="506" t="s">
        <v>566</v>
      </c>
      <c r="J798" s="525">
        <v>-173930</v>
      </c>
      <c r="K798" s="579"/>
      <c r="M798" s="611"/>
    </row>
    <row r="799" spans="1:13" ht="14.25" x14ac:dyDescent="0.2">
      <c r="A799" s="506"/>
      <c r="B799" s="520"/>
      <c r="C799" s="506"/>
      <c r="D799" s="506"/>
      <c r="E799" s="506" t="s">
        <v>520</v>
      </c>
      <c r="F799" s="506"/>
      <c r="G799" s="506"/>
      <c r="H799" s="506" t="s">
        <v>567</v>
      </c>
      <c r="I799" s="506" t="s">
        <v>566</v>
      </c>
      <c r="J799" s="525">
        <v>627901</v>
      </c>
      <c r="M799" s="611"/>
    </row>
    <row r="800" spans="1:13" ht="14.25" x14ac:dyDescent="0.2">
      <c r="A800" s="506"/>
      <c r="B800" s="520"/>
      <c r="C800" s="506"/>
      <c r="D800" s="506"/>
      <c r="E800" s="506" t="s">
        <v>520</v>
      </c>
      <c r="F800" s="506"/>
      <c r="G800" s="506"/>
      <c r="H800" s="506" t="s">
        <v>567</v>
      </c>
      <c r="I800" s="506" t="s">
        <v>568</v>
      </c>
      <c r="J800" s="525">
        <v>811693</v>
      </c>
    </row>
    <row r="801" spans="1:10" ht="14.25" x14ac:dyDescent="0.2">
      <c r="A801" s="506"/>
      <c r="B801" s="520"/>
      <c r="C801" s="506"/>
      <c r="D801" s="506"/>
      <c r="E801" s="506" t="s">
        <v>520</v>
      </c>
      <c r="F801" s="506"/>
      <c r="G801" s="506"/>
      <c r="H801" s="506" t="s">
        <v>716</v>
      </c>
      <c r="I801" s="506" t="s">
        <v>566</v>
      </c>
      <c r="J801" s="525">
        <v>6588</v>
      </c>
    </row>
    <row r="802" spans="1:10" ht="14.25" x14ac:dyDescent="0.2">
      <c r="A802" s="506"/>
      <c r="B802" s="520"/>
      <c r="C802" s="506"/>
      <c r="D802" s="506"/>
      <c r="E802" s="506" t="s">
        <v>516</v>
      </c>
      <c r="F802" s="506"/>
      <c r="G802" s="506"/>
      <c r="H802" s="506" t="s">
        <v>571</v>
      </c>
      <c r="I802" s="506" t="s">
        <v>519</v>
      </c>
      <c r="J802" s="525">
        <v>-25164</v>
      </c>
    </row>
    <row r="803" spans="1:10" ht="14.25" x14ac:dyDescent="0.2">
      <c r="A803" s="506"/>
      <c r="B803" s="520"/>
      <c r="C803" s="506"/>
      <c r="D803" s="506"/>
      <c r="E803" s="506" t="s">
        <v>520</v>
      </c>
      <c r="F803" s="506"/>
      <c r="G803" s="506"/>
      <c r="H803" s="506" t="s">
        <v>675</v>
      </c>
      <c r="I803" s="506" t="s">
        <v>519</v>
      </c>
      <c r="J803" s="525">
        <v>19260</v>
      </c>
    </row>
    <row r="804" spans="1:10" ht="14.25" x14ac:dyDescent="0.2">
      <c r="A804" s="506"/>
      <c r="B804" s="520"/>
      <c r="C804" s="506"/>
      <c r="D804" s="506"/>
      <c r="E804" s="506" t="s">
        <v>516</v>
      </c>
      <c r="F804" s="506"/>
      <c r="G804" s="506"/>
      <c r="H804" s="506" t="s">
        <v>569</v>
      </c>
      <c r="I804" s="506" t="s">
        <v>519</v>
      </c>
      <c r="J804" s="525">
        <v>-15651</v>
      </c>
    </row>
    <row r="805" spans="1:10" ht="14.25" x14ac:dyDescent="0.2">
      <c r="A805" s="506"/>
      <c r="B805" s="520"/>
      <c r="C805" s="506"/>
      <c r="D805" s="506"/>
      <c r="E805" s="506" t="s">
        <v>520</v>
      </c>
      <c r="F805" s="506"/>
      <c r="G805" s="506"/>
      <c r="H805" s="506" t="s">
        <v>717</v>
      </c>
      <c r="I805" s="506" t="s">
        <v>519</v>
      </c>
      <c r="J805" s="525">
        <v>114079</v>
      </c>
    </row>
    <row r="806" spans="1:10" ht="14.25" x14ac:dyDescent="0.2">
      <c r="A806" s="506"/>
      <c r="B806" s="520"/>
      <c r="C806" s="506"/>
      <c r="D806" s="506"/>
      <c r="E806" s="506" t="s">
        <v>520</v>
      </c>
      <c r="F806" s="506"/>
      <c r="G806" s="506"/>
      <c r="H806" s="506" t="s">
        <v>560</v>
      </c>
      <c r="I806" s="506" t="s">
        <v>519</v>
      </c>
      <c r="J806" s="525">
        <v>177353</v>
      </c>
    </row>
    <row r="807" spans="1:10" ht="14.25" x14ac:dyDescent="0.2">
      <c r="A807" s="506"/>
      <c r="B807" s="520"/>
      <c r="C807" s="506"/>
      <c r="D807" s="506"/>
      <c r="E807" s="506" t="s">
        <v>516</v>
      </c>
      <c r="F807" s="506"/>
      <c r="G807" s="506"/>
      <c r="H807" s="506" t="s">
        <v>573</v>
      </c>
      <c r="I807" s="506" t="s">
        <v>519</v>
      </c>
      <c r="J807" s="525">
        <v>-634141</v>
      </c>
    </row>
    <row r="808" spans="1:10" ht="14.25" x14ac:dyDescent="0.2">
      <c r="A808" s="506"/>
      <c r="B808" s="520"/>
      <c r="C808" s="506"/>
      <c r="D808" s="506"/>
      <c r="E808" s="506" t="s">
        <v>520</v>
      </c>
      <c r="F808" s="506"/>
      <c r="G808" s="506"/>
      <c r="H808" s="506" t="s">
        <v>718</v>
      </c>
      <c r="I808" s="506" t="s">
        <v>519</v>
      </c>
      <c r="J808" s="525">
        <v>750</v>
      </c>
    </row>
    <row r="809" spans="1:10" ht="14.25" x14ac:dyDescent="0.2">
      <c r="A809" s="506"/>
      <c r="B809" s="506"/>
      <c r="C809" s="522">
        <v>132</v>
      </c>
      <c r="D809" s="522"/>
      <c r="E809" s="522"/>
      <c r="F809" s="522"/>
      <c r="G809" s="522">
        <v>43</v>
      </c>
      <c r="H809" s="522"/>
      <c r="I809" s="522"/>
      <c r="J809" s="531">
        <f>SUM(J798:J808)</f>
        <v>908738</v>
      </c>
    </row>
    <row r="810" spans="1:10" s="546" customFormat="1" ht="15" x14ac:dyDescent="0.25">
      <c r="A810" s="537"/>
      <c r="B810" s="537"/>
      <c r="C810" s="537"/>
      <c r="D810" s="537"/>
      <c r="E810" s="537"/>
      <c r="F810" s="537"/>
      <c r="G810" s="537">
        <v>43</v>
      </c>
      <c r="H810" s="537"/>
      <c r="I810" s="537"/>
      <c r="J810" s="554">
        <f>SUM(J795+J797+J809)</f>
        <v>907019</v>
      </c>
    </row>
    <row r="811" spans="1:10" ht="14.25" x14ac:dyDescent="0.2">
      <c r="A811" s="506"/>
      <c r="B811" s="520"/>
      <c r="C811" s="506">
        <v>132</v>
      </c>
      <c r="D811" s="506"/>
      <c r="E811" s="506" t="s">
        <v>520</v>
      </c>
      <c r="F811" s="506"/>
      <c r="G811" s="506">
        <v>35</v>
      </c>
      <c r="H811" s="506" t="s">
        <v>578</v>
      </c>
      <c r="I811" s="506" t="s">
        <v>579</v>
      </c>
      <c r="J811" s="525">
        <v>560</v>
      </c>
    </row>
    <row r="812" spans="1:10" ht="14.25" x14ac:dyDescent="0.2">
      <c r="A812" s="506"/>
      <c r="B812" s="520"/>
      <c r="C812" s="506"/>
      <c r="D812" s="506"/>
      <c r="E812" s="506" t="s">
        <v>516</v>
      </c>
      <c r="F812" s="506"/>
      <c r="G812" s="506"/>
      <c r="H812" s="506" t="s">
        <v>576</v>
      </c>
      <c r="I812" s="506" t="s">
        <v>577</v>
      </c>
      <c r="J812" s="525">
        <v>-81856</v>
      </c>
    </row>
    <row r="813" spans="1:10" ht="14.25" x14ac:dyDescent="0.2">
      <c r="A813" s="506"/>
      <c r="B813" s="520"/>
      <c r="C813" s="506"/>
      <c r="D813" s="506"/>
      <c r="E813" s="506" t="s">
        <v>516</v>
      </c>
      <c r="F813" s="506"/>
      <c r="G813" s="506"/>
      <c r="H813" s="506" t="s">
        <v>574</v>
      </c>
      <c r="I813" s="506" t="s">
        <v>575</v>
      </c>
      <c r="J813" s="525">
        <v>-2740</v>
      </c>
    </row>
    <row r="814" spans="1:10" ht="14.25" x14ac:dyDescent="0.2">
      <c r="A814" s="506"/>
      <c r="B814" s="520"/>
      <c r="C814" s="506"/>
      <c r="D814" s="506"/>
      <c r="E814" s="506" t="s">
        <v>516</v>
      </c>
      <c r="F814" s="506"/>
      <c r="G814" s="506"/>
      <c r="H814" s="506" t="s">
        <v>719</v>
      </c>
      <c r="I814" s="506" t="s">
        <v>720</v>
      </c>
      <c r="J814" s="525">
        <v>-28100</v>
      </c>
    </row>
    <row r="815" spans="1:10" ht="14.25" x14ac:dyDescent="0.2">
      <c r="A815" s="506"/>
      <c r="B815" s="520"/>
      <c r="C815" s="506"/>
      <c r="D815" s="506"/>
      <c r="E815" s="506" t="s">
        <v>516</v>
      </c>
      <c r="F815" s="506"/>
      <c r="G815" s="506"/>
      <c r="H815" s="506" t="s">
        <v>580</v>
      </c>
      <c r="I815" s="506" t="s">
        <v>581</v>
      </c>
      <c r="J815" s="525">
        <v>-450</v>
      </c>
    </row>
    <row r="816" spans="1:10" ht="14.25" x14ac:dyDescent="0.2">
      <c r="A816" s="506"/>
      <c r="B816" s="520"/>
      <c r="C816" s="506"/>
      <c r="D816" s="506"/>
      <c r="E816" s="506" t="s">
        <v>516</v>
      </c>
      <c r="F816" s="506"/>
      <c r="G816" s="506"/>
      <c r="H816" s="506" t="s">
        <v>580</v>
      </c>
      <c r="I816" s="506" t="s">
        <v>582</v>
      </c>
      <c r="J816" s="525">
        <v>-500</v>
      </c>
    </row>
    <row r="817" spans="1:10" ht="14.25" x14ac:dyDescent="0.2">
      <c r="A817" s="506"/>
      <c r="B817" s="520"/>
      <c r="C817" s="506"/>
      <c r="D817" s="506"/>
      <c r="E817" s="506" t="s">
        <v>516</v>
      </c>
      <c r="F817" s="506"/>
      <c r="G817" s="506"/>
      <c r="H817" s="506" t="s">
        <v>580</v>
      </c>
      <c r="I817" s="506" t="s">
        <v>721</v>
      </c>
      <c r="J817" s="525">
        <v>-2000</v>
      </c>
    </row>
    <row r="818" spans="1:10" ht="14.25" x14ac:dyDescent="0.2">
      <c r="A818" s="506"/>
      <c r="B818" s="520"/>
      <c r="C818" s="506"/>
      <c r="D818" s="506"/>
      <c r="E818" s="506" t="s">
        <v>516</v>
      </c>
      <c r="F818" s="506"/>
      <c r="G818" s="506"/>
      <c r="H818" s="506" t="s">
        <v>580</v>
      </c>
      <c r="I818" s="506" t="s">
        <v>722</v>
      </c>
      <c r="J818" s="525">
        <v>-300</v>
      </c>
    </row>
    <row r="819" spans="1:10" ht="14.25" x14ac:dyDescent="0.2">
      <c r="A819" s="506"/>
      <c r="B819" s="520"/>
      <c r="C819" s="506"/>
      <c r="D819" s="506"/>
      <c r="E819" s="506" t="s">
        <v>516</v>
      </c>
      <c r="F819" s="506"/>
      <c r="G819" s="506"/>
      <c r="H819" s="506" t="s">
        <v>580</v>
      </c>
      <c r="I819" s="506" t="s">
        <v>583</v>
      </c>
      <c r="J819" s="525">
        <v>-300</v>
      </c>
    </row>
    <row r="820" spans="1:10" ht="14.25" x14ac:dyDescent="0.2">
      <c r="A820" s="506"/>
      <c r="B820" s="520"/>
      <c r="C820" s="506"/>
      <c r="D820" s="506"/>
      <c r="E820" s="506" t="s">
        <v>520</v>
      </c>
      <c r="F820" s="506"/>
      <c r="G820" s="506"/>
      <c r="H820" s="506" t="s">
        <v>580</v>
      </c>
      <c r="I820" s="506" t="s">
        <v>723</v>
      </c>
      <c r="J820" s="525">
        <v>1400</v>
      </c>
    </row>
    <row r="821" spans="1:10" ht="14.25" x14ac:dyDescent="0.2">
      <c r="A821" s="506"/>
      <c r="B821" s="520"/>
      <c r="C821" s="506"/>
      <c r="D821" s="506"/>
      <c r="E821" s="506" t="s">
        <v>520</v>
      </c>
      <c r="F821" s="506"/>
      <c r="G821" s="506"/>
      <c r="H821" s="506" t="s">
        <v>580</v>
      </c>
      <c r="I821" s="506" t="s">
        <v>724</v>
      </c>
      <c r="J821" s="525">
        <v>370</v>
      </c>
    </row>
    <row r="822" spans="1:10" ht="14.25" x14ac:dyDescent="0.2">
      <c r="A822" s="506"/>
      <c r="B822" s="520"/>
      <c r="C822" s="506"/>
      <c r="D822" s="506"/>
      <c r="E822" s="506" t="s">
        <v>520</v>
      </c>
      <c r="F822" s="506"/>
      <c r="G822" s="506"/>
      <c r="H822" s="506" t="s">
        <v>580</v>
      </c>
      <c r="I822" s="506" t="s">
        <v>725</v>
      </c>
      <c r="J822" s="525">
        <v>930</v>
      </c>
    </row>
    <row r="823" spans="1:10" ht="14.25" x14ac:dyDescent="0.2">
      <c r="A823" s="506"/>
      <c r="B823" s="520"/>
      <c r="C823" s="506"/>
      <c r="D823" s="506"/>
      <c r="E823" s="506" t="s">
        <v>520</v>
      </c>
      <c r="F823" s="506"/>
      <c r="G823" s="506"/>
      <c r="H823" s="506" t="s">
        <v>580</v>
      </c>
      <c r="I823" s="506" t="s">
        <v>726</v>
      </c>
      <c r="J823" s="525">
        <v>1080</v>
      </c>
    </row>
    <row r="824" spans="1:10" ht="14.25" x14ac:dyDescent="0.2">
      <c r="A824" s="506"/>
      <c r="B824" s="520"/>
      <c r="C824" s="506"/>
      <c r="D824" s="506"/>
      <c r="E824" s="506" t="s">
        <v>520</v>
      </c>
      <c r="F824" s="506"/>
      <c r="G824" s="506"/>
      <c r="H824" s="506" t="s">
        <v>580</v>
      </c>
      <c r="I824" s="506" t="s">
        <v>727</v>
      </c>
      <c r="J824" s="525">
        <v>1100</v>
      </c>
    </row>
    <row r="825" spans="1:10" ht="14.25" x14ac:dyDescent="0.2">
      <c r="A825" s="506"/>
      <c r="B825" s="520"/>
      <c r="C825" s="506"/>
      <c r="D825" s="506"/>
      <c r="E825" s="506" t="s">
        <v>520</v>
      </c>
      <c r="F825" s="506"/>
      <c r="G825" s="506"/>
      <c r="H825" s="506" t="s">
        <v>580</v>
      </c>
      <c r="I825" s="506" t="s">
        <v>728</v>
      </c>
      <c r="J825" s="525">
        <v>800</v>
      </c>
    </row>
    <row r="826" spans="1:10" ht="14.25" x14ac:dyDescent="0.2">
      <c r="A826" s="506"/>
      <c r="B826" s="520"/>
      <c r="C826" s="506"/>
      <c r="D826" s="506"/>
      <c r="E826" s="506" t="s">
        <v>520</v>
      </c>
      <c r="F826" s="506"/>
      <c r="G826" s="506"/>
      <c r="H826" s="506" t="s">
        <v>580</v>
      </c>
      <c r="I826" s="506" t="s">
        <v>729</v>
      </c>
      <c r="J826" s="525">
        <v>1200</v>
      </c>
    </row>
    <row r="827" spans="1:10" ht="14.25" x14ac:dyDescent="0.2">
      <c r="A827" s="506"/>
      <c r="B827" s="520"/>
      <c r="C827" s="506"/>
      <c r="D827" s="506"/>
      <c r="E827" s="506" t="s">
        <v>520</v>
      </c>
      <c r="F827" s="506"/>
      <c r="G827" s="506"/>
      <c r="H827" s="506" t="s">
        <v>580</v>
      </c>
      <c r="I827" s="506" t="s">
        <v>730</v>
      </c>
      <c r="J827" s="525">
        <v>25000</v>
      </c>
    </row>
    <row r="828" spans="1:10" ht="14.25" x14ac:dyDescent="0.2">
      <c r="A828" s="506"/>
      <c r="B828" s="520"/>
      <c r="C828" s="506"/>
      <c r="D828" s="506"/>
      <c r="E828" s="506" t="s">
        <v>520</v>
      </c>
      <c r="F828" s="506"/>
      <c r="G828" s="506"/>
      <c r="H828" s="506" t="s">
        <v>584</v>
      </c>
      <c r="I828" s="506" t="s">
        <v>731</v>
      </c>
      <c r="J828" s="525">
        <v>3800</v>
      </c>
    </row>
    <row r="829" spans="1:10" ht="14.25" x14ac:dyDescent="0.2">
      <c r="A829" s="506"/>
      <c r="B829" s="520"/>
      <c r="C829" s="506"/>
      <c r="D829" s="506"/>
      <c r="E829" s="506" t="s">
        <v>516</v>
      </c>
      <c r="F829" s="506"/>
      <c r="G829" s="506"/>
      <c r="H829" s="506" t="s">
        <v>584</v>
      </c>
      <c r="I829" s="506" t="s">
        <v>586</v>
      </c>
      <c r="J829" s="525">
        <v>-38810</v>
      </c>
    </row>
    <row r="830" spans="1:10" ht="14.25" x14ac:dyDescent="0.2">
      <c r="A830" s="506"/>
      <c r="B830" s="520"/>
      <c r="C830" s="506"/>
      <c r="D830" s="506"/>
      <c r="E830" s="506" t="s">
        <v>516</v>
      </c>
      <c r="F830" s="506"/>
      <c r="G830" s="506"/>
      <c r="H830" s="506" t="s">
        <v>584</v>
      </c>
      <c r="I830" s="506" t="s">
        <v>587</v>
      </c>
      <c r="J830" s="525">
        <v>-6000</v>
      </c>
    </row>
    <row r="831" spans="1:10" ht="14.25" x14ac:dyDescent="0.2">
      <c r="A831" s="506"/>
      <c r="B831" s="520"/>
      <c r="C831" s="506"/>
      <c r="D831" s="506"/>
      <c r="E831" s="506" t="s">
        <v>516</v>
      </c>
      <c r="F831" s="506"/>
      <c r="G831" s="506"/>
      <c r="H831" s="506" t="s">
        <v>584</v>
      </c>
      <c r="I831" s="506" t="s">
        <v>732</v>
      </c>
      <c r="J831" s="525">
        <v>-9300</v>
      </c>
    </row>
    <row r="832" spans="1:10" ht="14.25" x14ac:dyDescent="0.2">
      <c r="A832" s="506"/>
      <c r="B832" s="520"/>
      <c r="C832" s="506"/>
      <c r="D832" s="506"/>
      <c r="E832" s="506" t="s">
        <v>520</v>
      </c>
      <c r="F832" s="506"/>
      <c r="G832" s="506"/>
      <c r="H832" s="506" t="s">
        <v>584</v>
      </c>
      <c r="I832" s="506" t="s">
        <v>591</v>
      </c>
      <c r="J832" s="525">
        <v>690</v>
      </c>
    </row>
    <row r="833" spans="1:10" ht="14.25" x14ac:dyDescent="0.2">
      <c r="A833" s="506"/>
      <c r="B833" s="520"/>
      <c r="C833" s="506"/>
      <c r="D833" s="506"/>
      <c r="E833" s="506" t="s">
        <v>516</v>
      </c>
      <c r="F833" s="506"/>
      <c r="G833" s="506"/>
      <c r="H833" s="506" t="s">
        <v>584</v>
      </c>
      <c r="I833" s="506" t="s">
        <v>588</v>
      </c>
      <c r="J833" s="525">
        <v>-163000</v>
      </c>
    </row>
    <row r="834" spans="1:10" ht="14.25" x14ac:dyDescent="0.2">
      <c r="A834" s="506"/>
      <c r="B834" s="520"/>
      <c r="C834" s="506"/>
      <c r="D834" s="506"/>
      <c r="E834" s="506" t="s">
        <v>516</v>
      </c>
      <c r="F834" s="506"/>
      <c r="G834" s="506"/>
      <c r="H834" s="506" t="s">
        <v>584</v>
      </c>
      <c r="I834" s="506" t="s">
        <v>733</v>
      </c>
      <c r="J834" s="525">
        <v>-200</v>
      </c>
    </row>
    <row r="835" spans="1:10" ht="14.25" x14ac:dyDescent="0.2">
      <c r="A835" s="506"/>
      <c r="B835" s="520"/>
      <c r="C835" s="506"/>
      <c r="D835" s="506"/>
      <c r="E835" s="506" t="s">
        <v>516</v>
      </c>
      <c r="F835" s="506"/>
      <c r="G835" s="506"/>
      <c r="H835" s="506" t="s">
        <v>584</v>
      </c>
      <c r="I835" s="506" t="s">
        <v>734</v>
      </c>
      <c r="J835" s="525">
        <v>-300</v>
      </c>
    </row>
    <row r="836" spans="1:10" ht="14.25" x14ac:dyDescent="0.2">
      <c r="A836" s="506"/>
      <c r="B836" s="520"/>
      <c r="C836" s="506"/>
      <c r="D836" s="506"/>
      <c r="E836" s="506" t="s">
        <v>520</v>
      </c>
      <c r="F836" s="506"/>
      <c r="G836" s="506"/>
      <c r="H836" s="506" t="s">
        <v>584</v>
      </c>
      <c r="I836" s="506" t="s">
        <v>735</v>
      </c>
      <c r="J836" s="525">
        <v>4681</v>
      </c>
    </row>
    <row r="837" spans="1:10" ht="14.25" x14ac:dyDescent="0.2">
      <c r="A837" s="506"/>
      <c r="B837" s="520"/>
      <c r="C837" s="506"/>
      <c r="D837" s="506"/>
      <c r="E837" s="506" t="s">
        <v>516</v>
      </c>
      <c r="F837" s="506"/>
      <c r="G837" s="506"/>
      <c r="H837" s="506" t="s">
        <v>584</v>
      </c>
      <c r="I837" s="506" t="s">
        <v>736</v>
      </c>
      <c r="J837" s="525">
        <v>-600</v>
      </c>
    </row>
    <row r="838" spans="1:10" ht="14.25" x14ac:dyDescent="0.2">
      <c r="A838" s="506"/>
      <c r="B838" s="520"/>
      <c r="C838" s="506"/>
      <c r="D838" s="506"/>
      <c r="E838" s="506" t="s">
        <v>516</v>
      </c>
      <c r="F838" s="506"/>
      <c r="G838" s="506"/>
      <c r="H838" s="506" t="s">
        <v>584</v>
      </c>
      <c r="I838" s="506" t="s">
        <v>737</v>
      </c>
      <c r="J838" s="525">
        <v>-1310</v>
      </c>
    </row>
    <row r="839" spans="1:10" ht="14.25" x14ac:dyDescent="0.2">
      <c r="A839" s="506"/>
      <c r="B839" s="520"/>
      <c r="C839" s="506"/>
      <c r="D839" s="506"/>
      <c r="E839" s="506" t="s">
        <v>520</v>
      </c>
      <c r="F839" s="506"/>
      <c r="G839" s="506"/>
      <c r="H839" s="506" t="s">
        <v>584</v>
      </c>
      <c r="I839" s="506" t="s">
        <v>738</v>
      </c>
      <c r="J839" s="525">
        <v>6200</v>
      </c>
    </row>
    <row r="840" spans="1:10" ht="14.25" x14ac:dyDescent="0.2">
      <c r="A840" s="506"/>
      <c r="B840" s="520"/>
      <c r="C840" s="506"/>
      <c r="D840" s="506"/>
      <c r="E840" s="506" t="s">
        <v>516</v>
      </c>
      <c r="F840" s="506"/>
      <c r="G840" s="506"/>
      <c r="H840" s="506" t="s">
        <v>584</v>
      </c>
      <c r="I840" s="506" t="s">
        <v>590</v>
      </c>
      <c r="J840" s="525">
        <v>-28000</v>
      </c>
    </row>
    <row r="841" spans="1:10" ht="14.25" x14ac:dyDescent="0.2">
      <c r="A841" s="506"/>
      <c r="B841" s="520"/>
      <c r="C841" s="506"/>
      <c r="D841" s="506"/>
      <c r="E841" s="506" t="s">
        <v>520</v>
      </c>
      <c r="F841" s="506"/>
      <c r="G841" s="506"/>
      <c r="H841" s="506" t="s">
        <v>584</v>
      </c>
      <c r="I841" s="506" t="s">
        <v>739</v>
      </c>
      <c r="J841" s="525">
        <v>4800</v>
      </c>
    </row>
    <row r="842" spans="1:10" ht="14.25" x14ac:dyDescent="0.2">
      <c r="A842" s="506"/>
      <c r="B842" s="520"/>
      <c r="C842" s="506"/>
      <c r="D842" s="506"/>
      <c r="E842" s="506" t="s">
        <v>516</v>
      </c>
      <c r="F842" s="506"/>
      <c r="G842" s="506"/>
      <c r="H842" s="506" t="s">
        <v>592</v>
      </c>
      <c r="I842" s="506" t="s">
        <v>740</v>
      </c>
      <c r="J842" s="525">
        <v>-2260</v>
      </c>
    </row>
    <row r="843" spans="1:10" ht="14.25" x14ac:dyDescent="0.2">
      <c r="A843" s="506"/>
      <c r="B843" s="520"/>
      <c r="C843" s="506"/>
      <c r="D843" s="506"/>
      <c r="E843" s="506" t="s">
        <v>516</v>
      </c>
      <c r="F843" s="506"/>
      <c r="G843" s="506"/>
      <c r="H843" s="506" t="s">
        <v>592</v>
      </c>
      <c r="I843" s="506" t="s">
        <v>593</v>
      </c>
      <c r="J843" s="525">
        <v>-150000</v>
      </c>
    </row>
    <row r="844" spans="1:10" ht="14.25" x14ac:dyDescent="0.2">
      <c r="A844" s="506"/>
      <c r="B844" s="520"/>
      <c r="C844" s="506"/>
      <c r="D844" s="506"/>
      <c r="E844" s="506" t="s">
        <v>520</v>
      </c>
      <c r="F844" s="506"/>
      <c r="G844" s="506"/>
      <c r="H844" s="506" t="s">
        <v>592</v>
      </c>
      <c r="I844" s="506" t="s">
        <v>741</v>
      </c>
      <c r="J844" s="525">
        <v>4000</v>
      </c>
    </row>
    <row r="845" spans="1:10" ht="14.25" x14ac:dyDescent="0.2">
      <c r="A845" s="506"/>
      <c r="B845" s="520"/>
      <c r="C845" s="506"/>
      <c r="D845" s="506"/>
      <c r="E845" s="506" t="s">
        <v>516</v>
      </c>
      <c r="F845" s="506"/>
      <c r="G845" s="506"/>
      <c r="H845" s="506" t="s">
        <v>592</v>
      </c>
      <c r="I845" s="506" t="s">
        <v>742</v>
      </c>
      <c r="J845" s="525">
        <v>-10000</v>
      </c>
    </row>
    <row r="846" spans="1:10" ht="14.25" x14ac:dyDescent="0.2">
      <c r="A846" s="506"/>
      <c r="B846" s="520"/>
      <c r="C846" s="506"/>
      <c r="D846" s="506"/>
      <c r="E846" s="506" t="s">
        <v>516</v>
      </c>
      <c r="F846" s="506"/>
      <c r="G846" s="506"/>
      <c r="H846" s="506" t="s">
        <v>592</v>
      </c>
      <c r="I846" s="506" t="s">
        <v>594</v>
      </c>
      <c r="J846" s="525">
        <v>-8000</v>
      </c>
    </row>
    <row r="847" spans="1:10" ht="14.25" x14ac:dyDescent="0.2">
      <c r="A847" s="506"/>
      <c r="B847" s="520"/>
      <c r="C847" s="506"/>
      <c r="D847" s="506"/>
      <c r="E847" s="506" t="s">
        <v>520</v>
      </c>
      <c r="F847" s="506"/>
      <c r="G847" s="506"/>
      <c r="H847" s="506" t="s">
        <v>598</v>
      </c>
      <c r="I847" s="506" t="s">
        <v>519</v>
      </c>
      <c r="J847" s="525">
        <v>5500</v>
      </c>
    </row>
    <row r="848" spans="1:10" ht="14.25" x14ac:dyDescent="0.2">
      <c r="A848" s="506"/>
      <c r="B848" s="520"/>
      <c r="C848" s="506"/>
      <c r="D848" s="506"/>
      <c r="E848" s="506" t="s">
        <v>520</v>
      </c>
      <c r="F848" s="506"/>
      <c r="G848" s="506"/>
      <c r="H848" s="506" t="s">
        <v>525</v>
      </c>
      <c r="I848" s="506" t="s">
        <v>519</v>
      </c>
      <c r="J848" s="525">
        <v>13100</v>
      </c>
    </row>
    <row r="849" spans="1:10" ht="15" x14ac:dyDescent="0.25">
      <c r="A849" s="506"/>
      <c r="B849" s="506"/>
      <c r="C849" s="537">
        <v>132</v>
      </c>
      <c r="D849" s="537"/>
      <c r="E849" s="537"/>
      <c r="F849" s="537"/>
      <c r="G849" s="537">
        <v>35</v>
      </c>
      <c r="H849" s="537"/>
      <c r="I849" s="537"/>
      <c r="J849" s="554">
        <f>SUM(J811:J848)</f>
        <v>-458815</v>
      </c>
    </row>
    <row r="850" spans="1:10" s="612" customFormat="1" ht="14.25" x14ac:dyDescent="0.2">
      <c r="A850" s="506"/>
      <c r="B850" s="520"/>
      <c r="C850" s="506">
        <v>132</v>
      </c>
      <c r="D850" s="506"/>
      <c r="E850" s="506" t="s">
        <v>516</v>
      </c>
      <c r="F850" s="506"/>
      <c r="G850" s="506">
        <v>31</v>
      </c>
      <c r="H850" s="506" t="s">
        <v>612</v>
      </c>
      <c r="I850" s="506" t="s">
        <v>519</v>
      </c>
      <c r="J850" s="525">
        <v>-400000</v>
      </c>
    </row>
    <row r="851" spans="1:10" s="612" customFormat="1" ht="14.25" x14ac:dyDescent="0.2">
      <c r="A851" s="506"/>
      <c r="B851" s="520"/>
      <c r="C851" s="506"/>
      <c r="D851" s="506"/>
      <c r="E851" s="506" t="s">
        <v>516</v>
      </c>
      <c r="F851" s="506"/>
      <c r="G851" s="506"/>
      <c r="H851" s="506" t="s">
        <v>529</v>
      </c>
      <c r="I851" s="506" t="s">
        <v>519</v>
      </c>
      <c r="J851" s="525">
        <v>-48204</v>
      </c>
    </row>
    <row r="852" spans="1:10" s="612" customFormat="1" ht="15" x14ac:dyDescent="0.25">
      <c r="A852" s="510" t="s">
        <v>743</v>
      </c>
      <c r="B852" s="608"/>
      <c r="C852" s="550">
        <v>132</v>
      </c>
      <c r="D852" s="550"/>
      <c r="E852" s="550"/>
      <c r="F852" s="550"/>
      <c r="G852" s="550">
        <v>31</v>
      </c>
      <c r="H852" s="550"/>
      <c r="I852" s="550"/>
      <c r="J852" s="552">
        <v>-448204</v>
      </c>
    </row>
    <row r="853" spans="1:10" s="612" customFormat="1" ht="14.25" x14ac:dyDescent="0.2">
      <c r="A853" s="528"/>
      <c r="B853" s="528"/>
      <c r="C853" s="528"/>
      <c r="D853" s="528"/>
      <c r="E853" s="528"/>
      <c r="F853" s="528"/>
      <c r="G853" s="528"/>
      <c r="H853" s="528"/>
      <c r="I853" s="528"/>
      <c r="J853" s="528"/>
    </row>
    <row r="854" spans="1:10" s="612" customFormat="1" ht="14.25" x14ac:dyDescent="0.2">
      <c r="A854" s="506">
        <v>683</v>
      </c>
      <c r="B854" s="520">
        <v>41992</v>
      </c>
      <c r="C854" s="506">
        <v>132</v>
      </c>
      <c r="D854" s="506" t="s">
        <v>744</v>
      </c>
      <c r="E854" s="506" t="s">
        <v>520</v>
      </c>
      <c r="F854" s="590" t="s">
        <v>517</v>
      </c>
      <c r="G854" s="506">
        <v>380</v>
      </c>
      <c r="H854" s="506" t="s">
        <v>552</v>
      </c>
      <c r="I854" s="506" t="s">
        <v>519</v>
      </c>
      <c r="J854" s="525">
        <v>1555</v>
      </c>
    </row>
    <row r="855" spans="1:10" s="612" customFormat="1" ht="14.25" x14ac:dyDescent="0.2">
      <c r="A855" s="506"/>
      <c r="B855" s="520"/>
      <c r="C855" s="506">
        <v>132</v>
      </c>
      <c r="D855" s="506"/>
      <c r="E855" s="506" t="s">
        <v>520</v>
      </c>
      <c r="F855" s="590" t="s">
        <v>521</v>
      </c>
      <c r="G855" s="506"/>
      <c r="H855" s="506" t="s">
        <v>551</v>
      </c>
      <c r="I855" s="506" t="s">
        <v>519</v>
      </c>
      <c r="J855" s="525">
        <v>3109</v>
      </c>
    </row>
    <row r="856" spans="1:10" s="612" customFormat="1" ht="14.25" x14ac:dyDescent="0.2">
      <c r="A856" s="506"/>
      <c r="B856" s="506"/>
      <c r="C856" s="522">
        <v>132</v>
      </c>
      <c r="D856" s="522"/>
      <c r="E856" s="522"/>
      <c r="F856" s="522"/>
      <c r="G856" s="522">
        <v>380</v>
      </c>
      <c r="H856" s="522"/>
      <c r="I856" s="522"/>
      <c r="J856" s="531">
        <f>SUM(J854:J855)</f>
        <v>4664</v>
      </c>
    </row>
    <row r="857" spans="1:10" ht="14.25" x14ac:dyDescent="0.2">
      <c r="A857" s="506"/>
      <c r="B857" s="520"/>
      <c r="C857" s="506">
        <v>132</v>
      </c>
      <c r="D857" s="506"/>
      <c r="E857" s="506" t="s">
        <v>516</v>
      </c>
      <c r="F857" s="506"/>
      <c r="G857" s="506">
        <v>31</v>
      </c>
      <c r="H857" s="506" t="s">
        <v>550</v>
      </c>
      <c r="I857" s="506" t="s">
        <v>519</v>
      </c>
      <c r="J857" s="525">
        <v>-47042</v>
      </c>
    </row>
    <row r="858" spans="1:10" ht="14.25" x14ac:dyDescent="0.2">
      <c r="A858" s="506"/>
      <c r="B858" s="520"/>
      <c r="C858" s="506"/>
      <c r="D858" s="506"/>
      <c r="E858" s="506"/>
      <c r="F858" s="506"/>
      <c r="G858" s="506"/>
      <c r="H858" s="506" t="s">
        <v>549</v>
      </c>
      <c r="I858" s="506" t="s">
        <v>519</v>
      </c>
      <c r="J858" s="525">
        <v>-13978</v>
      </c>
    </row>
    <row r="859" spans="1:10" ht="14.25" x14ac:dyDescent="0.2">
      <c r="A859" s="506"/>
      <c r="B859" s="506"/>
      <c r="C859" s="522">
        <v>132</v>
      </c>
      <c r="D859" s="522"/>
      <c r="E859" s="522"/>
      <c r="F859" s="522"/>
      <c r="G859" s="522">
        <v>31</v>
      </c>
      <c r="H859" s="522"/>
      <c r="I859" s="522"/>
      <c r="J859" s="531">
        <f>SUM(J857:J858)</f>
        <v>-61020</v>
      </c>
    </row>
    <row r="860" spans="1:10" ht="14.25" x14ac:dyDescent="0.2">
      <c r="A860" s="506"/>
      <c r="B860" s="506"/>
      <c r="C860" s="506">
        <v>132</v>
      </c>
      <c r="D860" s="506"/>
      <c r="E860" s="506" t="s">
        <v>520</v>
      </c>
      <c r="F860" s="506"/>
      <c r="G860" s="506">
        <v>270</v>
      </c>
      <c r="H860" s="506" t="s">
        <v>550</v>
      </c>
      <c r="I860" s="506" t="s">
        <v>519</v>
      </c>
      <c r="J860" s="525">
        <v>3950</v>
      </c>
    </row>
    <row r="861" spans="1:10" ht="14.25" x14ac:dyDescent="0.2">
      <c r="A861" s="506"/>
      <c r="B861" s="506"/>
      <c r="C861" s="506"/>
      <c r="D861" s="506"/>
      <c r="E861" s="506" t="s">
        <v>520</v>
      </c>
      <c r="F861" s="506"/>
      <c r="G861" s="506"/>
      <c r="H861" s="506" t="s">
        <v>552</v>
      </c>
      <c r="I861" s="506" t="s">
        <v>519</v>
      </c>
      <c r="J861" s="525">
        <v>790</v>
      </c>
    </row>
    <row r="862" spans="1:10" ht="14.25" x14ac:dyDescent="0.2">
      <c r="A862" s="506"/>
      <c r="B862" s="506"/>
      <c r="C862" s="506"/>
      <c r="D862" s="506"/>
      <c r="E862" s="506" t="s">
        <v>520</v>
      </c>
      <c r="F862" s="506"/>
      <c r="G862" s="506"/>
      <c r="H862" s="506" t="s">
        <v>549</v>
      </c>
      <c r="I862" s="506" t="s">
        <v>519</v>
      </c>
      <c r="J862" s="525">
        <v>1580</v>
      </c>
    </row>
    <row r="863" spans="1:10" ht="14.25" x14ac:dyDescent="0.2">
      <c r="A863" s="506"/>
      <c r="B863" s="506"/>
      <c r="C863" s="506"/>
      <c r="D863" s="506"/>
      <c r="E863" s="506" t="s">
        <v>520</v>
      </c>
      <c r="F863" s="506"/>
      <c r="G863" s="506"/>
      <c r="H863" s="506" t="s">
        <v>551</v>
      </c>
      <c r="I863" s="506" t="s">
        <v>519</v>
      </c>
      <c r="J863" s="525">
        <v>1080</v>
      </c>
    </row>
    <row r="864" spans="1:10" ht="14.25" x14ac:dyDescent="0.2">
      <c r="A864" s="506"/>
      <c r="B864" s="506"/>
      <c r="C864" s="522">
        <v>132</v>
      </c>
      <c r="D864" s="522"/>
      <c r="E864" s="522"/>
      <c r="F864" s="522"/>
      <c r="G864" s="522">
        <v>270</v>
      </c>
      <c r="H864" s="522"/>
      <c r="I864" s="522"/>
      <c r="J864" s="531">
        <f>SUM(J860:J863)</f>
        <v>7400</v>
      </c>
    </row>
    <row r="865" spans="1:10" ht="14.25" x14ac:dyDescent="0.2">
      <c r="A865" s="506"/>
      <c r="B865" s="520"/>
      <c r="C865" s="506">
        <v>132</v>
      </c>
      <c r="D865" s="506"/>
      <c r="E865" s="506" t="s">
        <v>520</v>
      </c>
      <c r="F865" s="506"/>
      <c r="G865" s="506">
        <v>200</v>
      </c>
      <c r="H865" s="506" t="s">
        <v>552</v>
      </c>
      <c r="I865" s="506" t="s">
        <v>519</v>
      </c>
      <c r="J865" s="525">
        <v>1502</v>
      </c>
    </row>
    <row r="866" spans="1:10" ht="14.25" x14ac:dyDescent="0.2">
      <c r="A866" s="506"/>
      <c r="B866" s="520"/>
      <c r="C866" s="506"/>
      <c r="D866" s="506"/>
      <c r="E866" s="506" t="s">
        <v>520</v>
      </c>
      <c r="F866" s="506"/>
      <c r="G866" s="506"/>
      <c r="H866" s="506" t="s">
        <v>551</v>
      </c>
      <c r="I866" s="506" t="s">
        <v>519</v>
      </c>
      <c r="J866" s="525">
        <v>3003</v>
      </c>
    </row>
    <row r="867" spans="1:10" ht="14.25" x14ac:dyDescent="0.2">
      <c r="A867" s="506"/>
      <c r="B867" s="506"/>
      <c r="C867" s="522">
        <v>132</v>
      </c>
      <c r="D867" s="522"/>
      <c r="E867" s="522"/>
      <c r="F867" s="522"/>
      <c r="G867" s="522">
        <v>200</v>
      </c>
      <c r="H867" s="522"/>
      <c r="I867" s="522"/>
      <c r="J867" s="531">
        <f>SUM(J865:J866)</f>
        <v>4505</v>
      </c>
    </row>
    <row r="868" spans="1:10" ht="14.25" x14ac:dyDescent="0.2">
      <c r="A868" s="506"/>
      <c r="B868" s="520"/>
      <c r="C868" s="506">
        <v>132</v>
      </c>
      <c r="D868" s="506"/>
      <c r="E868" s="506" t="s">
        <v>520</v>
      </c>
      <c r="F868" s="506"/>
      <c r="G868" s="506">
        <v>160</v>
      </c>
      <c r="H868" s="506" t="s">
        <v>552</v>
      </c>
      <c r="I868" s="506" t="s">
        <v>519</v>
      </c>
      <c r="J868" s="525">
        <v>752</v>
      </c>
    </row>
    <row r="869" spans="1:10" ht="14.25" x14ac:dyDescent="0.2">
      <c r="A869" s="506"/>
      <c r="B869" s="520"/>
      <c r="C869" s="506"/>
      <c r="D869" s="506"/>
      <c r="E869" s="506" t="s">
        <v>520</v>
      </c>
      <c r="F869" s="506"/>
      <c r="G869" s="506"/>
      <c r="H869" s="506" t="s">
        <v>551</v>
      </c>
      <c r="I869" s="506" t="s">
        <v>519</v>
      </c>
      <c r="J869" s="525">
        <v>1503</v>
      </c>
    </row>
    <row r="870" spans="1:10" s="514" customFormat="1" ht="14.25" x14ac:dyDescent="0.2">
      <c r="A870" s="522"/>
      <c r="B870" s="522"/>
      <c r="C870" s="522">
        <v>132</v>
      </c>
      <c r="D870" s="522"/>
      <c r="E870" s="522"/>
      <c r="F870" s="522"/>
      <c r="G870" s="522">
        <v>160</v>
      </c>
      <c r="H870" s="522"/>
      <c r="I870" s="522"/>
      <c r="J870" s="531">
        <f>SUM(J868:J869)</f>
        <v>2255</v>
      </c>
    </row>
    <row r="871" spans="1:10" ht="14.25" x14ac:dyDescent="0.2">
      <c r="A871" s="506"/>
      <c r="B871" s="520"/>
      <c r="C871" s="506">
        <v>132</v>
      </c>
      <c r="D871" s="506"/>
      <c r="E871" s="506" t="s">
        <v>520</v>
      </c>
      <c r="F871" s="506"/>
      <c r="G871" s="506">
        <v>130</v>
      </c>
      <c r="H871" s="506" t="s">
        <v>550</v>
      </c>
      <c r="I871" s="506" t="s">
        <v>519</v>
      </c>
      <c r="J871" s="525">
        <v>3223</v>
      </c>
    </row>
    <row r="872" spans="1:10" ht="14.25" x14ac:dyDescent="0.2">
      <c r="A872" s="506"/>
      <c r="B872" s="520"/>
      <c r="C872" s="506"/>
      <c r="D872" s="506"/>
      <c r="E872" s="506" t="s">
        <v>520</v>
      </c>
      <c r="F872" s="506"/>
      <c r="G872" s="506"/>
      <c r="H872" s="506" t="s">
        <v>552</v>
      </c>
      <c r="I872" s="506" t="s">
        <v>519</v>
      </c>
      <c r="J872" s="525">
        <v>806</v>
      </c>
    </row>
    <row r="873" spans="1:10" ht="14.25" x14ac:dyDescent="0.2">
      <c r="A873" s="506"/>
      <c r="B873" s="520"/>
      <c r="C873" s="506"/>
      <c r="D873" s="506"/>
      <c r="E873" s="506" t="s">
        <v>520</v>
      </c>
      <c r="F873" s="506"/>
      <c r="G873" s="506"/>
      <c r="H873" s="506" t="s">
        <v>549</v>
      </c>
      <c r="I873" s="506" t="s">
        <v>519</v>
      </c>
      <c r="J873" s="525">
        <v>1612</v>
      </c>
    </row>
    <row r="874" spans="1:10" ht="14.25" x14ac:dyDescent="0.2">
      <c r="A874" s="506"/>
      <c r="B874" s="520"/>
      <c r="C874" s="506"/>
      <c r="D874" s="506"/>
      <c r="E874" s="506" t="s">
        <v>520</v>
      </c>
      <c r="F874" s="506"/>
      <c r="G874" s="506"/>
      <c r="H874" s="506" t="s">
        <v>551</v>
      </c>
      <c r="I874" s="506" t="s">
        <v>519</v>
      </c>
      <c r="J874" s="525">
        <v>1612</v>
      </c>
    </row>
    <row r="875" spans="1:10" s="514" customFormat="1" ht="14.25" x14ac:dyDescent="0.2">
      <c r="A875" s="522"/>
      <c r="B875" s="522"/>
      <c r="C875" s="522">
        <v>132</v>
      </c>
      <c r="D875" s="522"/>
      <c r="E875" s="522"/>
      <c r="F875" s="522"/>
      <c r="G875" s="522">
        <v>130</v>
      </c>
      <c r="H875" s="522"/>
      <c r="I875" s="522"/>
      <c r="J875" s="531">
        <f>SUM(J871:J874)</f>
        <v>7253</v>
      </c>
    </row>
    <row r="876" spans="1:10" s="514" customFormat="1" ht="14.25" x14ac:dyDescent="0.2">
      <c r="A876" s="522"/>
      <c r="B876" s="522"/>
      <c r="C876" s="506">
        <v>132</v>
      </c>
      <c r="D876" s="506"/>
      <c r="E876" s="506" t="s">
        <v>520</v>
      </c>
      <c r="F876" s="506"/>
      <c r="G876" s="506">
        <v>110</v>
      </c>
      <c r="H876" s="506" t="s">
        <v>552</v>
      </c>
      <c r="I876" s="506" t="s">
        <v>519</v>
      </c>
      <c r="J876" s="525">
        <v>790</v>
      </c>
    </row>
    <row r="877" spans="1:10" s="514" customFormat="1" ht="14.25" x14ac:dyDescent="0.2">
      <c r="A877" s="522"/>
      <c r="B877" s="522"/>
      <c r="C877" s="506"/>
      <c r="D877" s="506"/>
      <c r="E877" s="506" t="s">
        <v>520</v>
      </c>
      <c r="F877" s="506"/>
      <c r="G877" s="506"/>
      <c r="H877" s="506" t="s">
        <v>551</v>
      </c>
      <c r="I877" s="506" t="s">
        <v>519</v>
      </c>
      <c r="J877" s="525">
        <v>1580</v>
      </c>
    </row>
    <row r="878" spans="1:10" s="514" customFormat="1" ht="14.25" x14ac:dyDescent="0.2">
      <c r="A878" s="522"/>
      <c r="B878" s="522"/>
      <c r="C878" s="522">
        <v>132</v>
      </c>
      <c r="D878" s="522"/>
      <c r="E878" s="522"/>
      <c r="F878" s="522"/>
      <c r="G878" s="522">
        <v>110</v>
      </c>
      <c r="H878" s="522"/>
      <c r="I878" s="522"/>
      <c r="J878" s="531">
        <f>SUM(J876:J877)</f>
        <v>2370</v>
      </c>
    </row>
    <row r="879" spans="1:10" ht="14.25" x14ac:dyDescent="0.2">
      <c r="A879" s="506"/>
      <c r="B879" s="520"/>
      <c r="C879" s="506">
        <v>132</v>
      </c>
      <c r="D879" s="506"/>
      <c r="E879" s="506" t="s">
        <v>520</v>
      </c>
      <c r="F879" s="506"/>
      <c r="G879" s="506">
        <v>100</v>
      </c>
      <c r="H879" s="506" t="s">
        <v>550</v>
      </c>
      <c r="I879" s="506" t="s">
        <v>519</v>
      </c>
      <c r="J879" s="525">
        <v>2973</v>
      </c>
    </row>
    <row r="880" spans="1:10" ht="14.25" x14ac:dyDescent="0.2">
      <c r="A880" s="506"/>
      <c r="B880" s="520"/>
      <c r="C880" s="506"/>
      <c r="D880" s="506"/>
      <c r="E880" s="506" t="s">
        <v>520</v>
      </c>
      <c r="F880" s="506"/>
      <c r="G880" s="506"/>
      <c r="H880" s="506" t="s">
        <v>549</v>
      </c>
      <c r="I880" s="506" t="s">
        <v>519</v>
      </c>
      <c r="J880" s="525">
        <v>1487</v>
      </c>
    </row>
    <row r="881" spans="1:10" s="514" customFormat="1" ht="14.25" x14ac:dyDescent="0.2">
      <c r="A881" s="522"/>
      <c r="B881" s="522"/>
      <c r="C881" s="522">
        <v>132</v>
      </c>
      <c r="D881" s="522"/>
      <c r="E881" s="522"/>
      <c r="F881" s="522"/>
      <c r="G881" s="522">
        <v>100</v>
      </c>
      <c r="H881" s="522"/>
      <c r="I881" s="522"/>
      <c r="J881" s="531">
        <f>SUM(J879:J880)</f>
        <v>4460</v>
      </c>
    </row>
    <row r="882" spans="1:10" ht="14.25" x14ac:dyDescent="0.2">
      <c r="A882" s="506"/>
      <c r="B882" s="520"/>
      <c r="C882" s="506">
        <v>132</v>
      </c>
      <c r="D882" s="506"/>
      <c r="E882" s="506" t="s">
        <v>520</v>
      </c>
      <c r="F882" s="506"/>
      <c r="G882" s="506">
        <v>70</v>
      </c>
      <c r="H882" s="506" t="s">
        <v>571</v>
      </c>
      <c r="I882" s="506" t="s">
        <v>519</v>
      </c>
      <c r="J882" s="525">
        <v>4200</v>
      </c>
    </row>
    <row r="883" spans="1:10" ht="14.25" x14ac:dyDescent="0.2">
      <c r="A883" s="506"/>
      <c r="B883" s="520"/>
      <c r="C883" s="506"/>
      <c r="D883" s="506"/>
      <c r="E883" s="506" t="s">
        <v>520</v>
      </c>
      <c r="F883" s="506"/>
      <c r="G883" s="506"/>
      <c r="H883" s="506" t="s">
        <v>745</v>
      </c>
      <c r="I883" s="506" t="s">
        <v>519</v>
      </c>
      <c r="J883" s="525">
        <v>3500</v>
      </c>
    </row>
    <row r="884" spans="1:10" ht="14.25" x14ac:dyDescent="0.2">
      <c r="A884" s="506"/>
      <c r="B884" s="520"/>
      <c r="C884" s="506"/>
      <c r="D884" s="506"/>
      <c r="E884" s="506" t="s">
        <v>520</v>
      </c>
      <c r="F884" s="506"/>
      <c r="G884" s="506"/>
      <c r="H884" s="506" t="s">
        <v>525</v>
      </c>
      <c r="I884" s="506" t="s">
        <v>519</v>
      </c>
      <c r="J884" s="525">
        <v>1800</v>
      </c>
    </row>
    <row r="885" spans="1:10" ht="14.25" x14ac:dyDescent="0.2">
      <c r="A885" s="506"/>
      <c r="B885" s="520"/>
      <c r="C885" s="506"/>
      <c r="D885" s="506"/>
      <c r="E885" s="506" t="s">
        <v>520</v>
      </c>
      <c r="F885" s="506"/>
      <c r="G885" s="506"/>
      <c r="H885" s="506" t="s">
        <v>552</v>
      </c>
      <c r="I885" s="506" t="s">
        <v>519</v>
      </c>
      <c r="J885" s="525">
        <v>1720</v>
      </c>
    </row>
    <row r="886" spans="1:10" ht="14.25" x14ac:dyDescent="0.2">
      <c r="A886" s="506"/>
      <c r="B886" s="520"/>
      <c r="C886" s="506"/>
      <c r="D886" s="506"/>
      <c r="E886" s="506" t="s">
        <v>520</v>
      </c>
      <c r="F886" s="506"/>
      <c r="G886" s="506"/>
      <c r="H886" s="506" t="s">
        <v>551</v>
      </c>
      <c r="I886" s="506" t="s">
        <v>519</v>
      </c>
      <c r="J886" s="525">
        <v>3430</v>
      </c>
    </row>
    <row r="887" spans="1:10" s="514" customFormat="1" ht="14.25" x14ac:dyDescent="0.2">
      <c r="A887" s="522"/>
      <c r="B887" s="522"/>
      <c r="C887" s="522">
        <v>132</v>
      </c>
      <c r="D887" s="522"/>
      <c r="E887" s="522"/>
      <c r="F887" s="522"/>
      <c r="G887" s="522">
        <v>70</v>
      </c>
      <c r="H887" s="522"/>
      <c r="I887" s="522"/>
      <c r="J887" s="531">
        <f>SUM(J882:J886)</f>
        <v>14650</v>
      </c>
    </row>
    <row r="888" spans="1:10" ht="14.25" x14ac:dyDescent="0.2">
      <c r="A888" s="506"/>
      <c r="B888" s="520"/>
      <c r="C888" s="506">
        <v>132</v>
      </c>
      <c r="D888" s="506"/>
      <c r="E888" s="506" t="s">
        <v>520</v>
      </c>
      <c r="F888" s="506"/>
      <c r="G888" s="506">
        <v>50</v>
      </c>
      <c r="H888" s="506" t="s">
        <v>552</v>
      </c>
      <c r="I888" s="506" t="s">
        <v>519</v>
      </c>
      <c r="J888" s="525">
        <v>731</v>
      </c>
    </row>
    <row r="889" spans="1:10" ht="14.25" x14ac:dyDescent="0.2">
      <c r="A889" s="506"/>
      <c r="B889" s="520"/>
      <c r="C889" s="506"/>
      <c r="D889" s="506"/>
      <c r="E889" s="506" t="s">
        <v>520</v>
      </c>
      <c r="F889" s="506"/>
      <c r="G889" s="506"/>
      <c r="H889" s="506" t="s">
        <v>551</v>
      </c>
      <c r="I889" s="506" t="s">
        <v>519</v>
      </c>
      <c r="J889" s="525">
        <v>1462</v>
      </c>
    </row>
    <row r="890" spans="1:10" s="514" customFormat="1" ht="14.25" x14ac:dyDescent="0.2">
      <c r="A890" s="522"/>
      <c r="B890" s="522"/>
      <c r="C890" s="522">
        <v>132</v>
      </c>
      <c r="D890" s="522"/>
      <c r="E890" s="522"/>
      <c r="F890" s="522"/>
      <c r="G890" s="522">
        <v>50</v>
      </c>
      <c r="H890" s="522"/>
      <c r="I890" s="522"/>
      <c r="J890" s="531">
        <f>SUM(J888:J889)</f>
        <v>2193</v>
      </c>
    </row>
    <row r="891" spans="1:10" ht="14.25" x14ac:dyDescent="0.2">
      <c r="A891" s="506"/>
      <c r="B891" s="520"/>
      <c r="C891" s="506">
        <v>132</v>
      </c>
      <c r="D891" s="506"/>
      <c r="E891" s="506" t="s">
        <v>520</v>
      </c>
      <c r="F891" s="506"/>
      <c r="G891" s="506">
        <v>40</v>
      </c>
      <c r="H891" s="506" t="s">
        <v>552</v>
      </c>
      <c r="I891" s="506" t="s">
        <v>519</v>
      </c>
      <c r="J891" s="525">
        <v>814</v>
      </c>
    </row>
    <row r="892" spans="1:10" ht="14.25" x14ac:dyDescent="0.2">
      <c r="A892" s="506"/>
      <c r="B892" s="520"/>
      <c r="C892" s="506"/>
      <c r="D892" s="506"/>
      <c r="E892" s="506" t="s">
        <v>520</v>
      </c>
      <c r="F892" s="506"/>
      <c r="G892" s="506"/>
      <c r="H892" s="506" t="s">
        <v>551</v>
      </c>
      <c r="I892" s="506" t="s">
        <v>519</v>
      </c>
      <c r="J892" s="525">
        <v>1628</v>
      </c>
    </row>
    <row r="893" spans="1:10" s="514" customFormat="1" ht="14.25" x14ac:dyDescent="0.2">
      <c r="A893" s="522"/>
      <c r="B893" s="522"/>
      <c r="C893" s="522">
        <v>132</v>
      </c>
      <c r="D893" s="522"/>
      <c r="E893" s="522"/>
      <c r="F893" s="522"/>
      <c r="G893" s="522">
        <v>40</v>
      </c>
      <c r="H893" s="522"/>
      <c r="I893" s="522"/>
      <c r="J893" s="531">
        <f>SUM(J891:J892)</f>
        <v>2442</v>
      </c>
    </row>
    <row r="894" spans="1:10" ht="14.25" x14ac:dyDescent="0.2">
      <c r="A894" s="506"/>
      <c r="B894" s="520"/>
      <c r="C894" s="506">
        <v>132</v>
      </c>
      <c r="D894" s="506"/>
      <c r="E894" s="506" t="s">
        <v>520</v>
      </c>
      <c r="F894" s="506"/>
      <c r="G894" s="506">
        <v>20</v>
      </c>
      <c r="H894" s="506" t="s">
        <v>552</v>
      </c>
      <c r="I894" s="506" t="s">
        <v>519</v>
      </c>
      <c r="J894" s="525">
        <v>2943</v>
      </c>
    </row>
    <row r="895" spans="1:10" ht="14.25" x14ac:dyDescent="0.2">
      <c r="A895" s="506"/>
      <c r="B895" s="520"/>
      <c r="C895" s="506"/>
      <c r="D895" s="506"/>
      <c r="E895" s="506" t="s">
        <v>520</v>
      </c>
      <c r="F895" s="506"/>
      <c r="G895" s="506"/>
      <c r="H895" s="506" t="s">
        <v>551</v>
      </c>
      <c r="I895" s="506" t="s">
        <v>519</v>
      </c>
      <c r="J895" s="525">
        <v>5885</v>
      </c>
    </row>
    <row r="896" spans="1:10" s="514" customFormat="1" ht="14.25" x14ac:dyDescent="0.2">
      <c r="A896" s="510" t="s">
        <v>746</v>
      </c>
      <c r="B896" s="512"/>
      <c r="C896" s="512">
        <v>132</v>
      </c>
      <c r="D896" s="512"/>
      <c r="E896" s="512"/>
      <c r="F896" s="512"/>
      <c r="G896" s="512">
        <v>20</v>
      </c>
      <c r="H896" s="512"/>
      <c r="I896" s="512"/>
      <c r="J896" s="527">
        <f>SUM(J894:J895)</f>
        <v>8828</v>
      </c>
    </row>
    <row r="897" spans="1:10" x14ac:dyDescent="0.2">
      <c r="A897" s="569"/>
      <c r="B897" s="569"/>
      <c r="C897" s="569"/>
      <c r="D897" s="569"/>
      <c r="E897" s="569"/>
      <c r="F897" s="569"/>
      <c r="G897" s="569"/>
      <c r="H897" s="569"/>
      <c r="I897" s="569"/>
      <c r="J897" s="601"/>
    </row>
    <row r="898" spans="1:10" ht="14.25" x14ac:dyDescent="0.2">
      <c r="A898" s="506">
        <v>684</v>
      </c>
      <c r="B898" s="520">
        <v>41992</v>
      </c>
      <c r="C898" s="506">
        <v>132</v>
      </c>
      <c r="D898" s="506" t="s">
        <v>747</v>
      </c>
      <c r="E898" s="506" t="s">
        <v>516</v>
      </c>
      <c r="F898" s="590" t="s">
        <v>517</v>
      </c>
      <c r="G898" s="506">
        <v>370</v>
      </c>
      <c r="H898" s="506" t="s">
        <v>560</v>
      </c>
      <c r="I898" s="506" t="s">
        <v>519</v>
      </c>
      <c r="J898" s="525">
        <v>-568</v>
      </c>
    </row>
    <row r="899" spans="1:10" ht="14.25" x14ac:dyDescent="0.2">
      <c r="A899" s="506"/>
      <c r="B899" s="506"/>
      <c r="C899" s="522">
        <v>132</v>
      </c>
      <c r="D899" s="506"/>
      <c r="E899" s="506"/>
      <c r="F899" s="590" t="s">
        <v>521</v>
      </c>
      <c r="G899" s="522">
        <v>370</v>
      </c>
      <c r="H899" s="522"/>
      <c r="I899" s="522"/>
      <c r="J899" s="531">
        <f>SUM(J898)</f>
        <v>-568</v>
      </c>
    </row>
    <row r="900" spans="1:10" ht="14.25" x14ac:dyDescent="0.2">
      <c r="A900" s="506"/>
      <c r="B900" s="520"/>
      <c r="C900" s="506">
        <v>132</v>
      </c>
      <c r="D900" s="506"/>
      <c r="E900" s="506" t="s">
        <v>516</v>
      </c>
      <c r="F900" s="506"/>
      <c r="G900" s="506">
        <v>360</v>
      </c>
      <c r="H900" s="506" t="s">
        <v>560</v>
      </c>
      <c r="I900" s="506" t="s">
        <v>519</v>
      </c>
      <c r="J900" s="525">
        <v>-1500</v>
      </c>
    </row>
    <row r="901" spans="1:10" s="514" customFormat="1" ht="14.25" x14ac:dyDescent="0.2">
      <c r="A901" s="522"/>
      <c r="B901" s="522"/>
      <c r="C901" s="522">
        <v>132</v>
      </c>
      <c r="D901" s="522"/>
      <c r="E901" s="522"/>
      <c r="F901" s="522"/>
      <c r="G901" s="522">
        <v>360</v>
      </c>
      <c r="H901" s="522"/>
      <c r="I901" s="522"/>
      <c r="J901" s="531">
        <f>SUM(J900)</f>
        <v>-1500</v>
      </c>
    </row>
    <row r="902" spans="1:10" ht="14.25" x14ac:dyDescent="0.2">
      <c r="A902" s="506"/>
      <c r="B902" s="520"/>
      <c r="C902" s="506">
        <v>132</v>
      </c>
      <c r="D902" s="506"/>
      <c r="E902" s="506" t="s">
        <v>520</v>
      </c>
      <c r="F902" s="506"/>
      <c r="G902" s="506">
        <v>290</v>
      </c>
      <c r="H902" s="506" t="s">
        <v>570</v>
      </c>
      <c r="I902" s="506" t="s">
        <v>519</v>
      </c>
      <c r="J902" s="525">
        <v>500</v>
      </c>
    </row>
    <row r="903" spans="1:10" ht="14.25" x14ac:dyDescent="0.2">
      <c r="A903" s="506"/>
      <c r="B903" s="520"/>
      <c r="C903" s="506">
        <v>132</v>
      </c>
      <c r="D903" s="506"/>
      <c r="E903" s="506" t="s">
        <v>516</v>
      </c>
      <c r="F903" s="506"/>
      <c r="G903" s="506">
        <v>290</v>
      </c>
      <c r="H903" s="506" t="s">
        <v>555</v>
      </c>
      <c r="I903" s="506" t="s">
        <v>519</v>
      </c>
      <c r="J903" s="525">
        <v>-500</v>
      </c>
    </row>
    <row r="904" spans="1:10" s="514" customFormat="1" ht="14.25" x14ac:dyDescent="0.2">
      <c r="A904" s="522"/>
      <c r="B904" s="522"/>
      <c r="C904" s="522">
        <v>132</v>
      </c>
      <c r="D904" s="522"/>
      <c r="E904" s="522"/>
      <c r="F904" s="522"/>
      <c r="G904" s="522">
        <v>290</v>
      </c>
      <c r="H904" s="522"/>
      <c r="I904" s="522"/>
      <c r="J904" s="531">
        <f>SUM(J902:J903)</f>
        <v>0</v>
      </c>
    </row>
    <row r="905" spans="1:10" ht="14.25" x14ac:dyDescent="0.2">
      <c r="A905" s="506"/>
      <c r="B905" s="520"/>
      <c r="C905" s="506">
        <v>132</v>
      </c>
      <c r="D905" s="506"/>
      <c r="E905" s="506" t="s">
        <v>516</v>
      </c>
      <c r="F905" s="506"/>
      <c r="G905" s="506">
        <v>280</v>
      </c>
      <c r="H905" s="506" t="s">
        <v>560</v>
      </c>
      <c r="I905" s="506" t="s">
        <v>519</v>
      </c>
      <c r="J905" s="525">
        <v>-750</v>
      </c>
    </row>
    <row r="906" spans="1:10" ht="14.25" x14ac:dyDescent="0.2">
      <c r="A906" s="506"/>
      <c r="B906" s="520"/>
      <c r="C906" s="506">
        <v>132</v>
      </c>
      <c r="D906" s="506"/>
      <c r="E906" s="506" t="s">
        <v>520</v>
      </c>
      <c r="F906" s="506"/>
      <c r="G906" s="506">
        <v>280</v>
      </c>
      <c r="H906" s="506" t="s">
        <v>570</v>
      </c>
      <c r="I906" s="506" t="s">
        <v>519</v>
      </c>
      <c r="J906" s="525">
        <v>750</v>
      </c>
    </row>
    <row r="907" spans="1:10" s="514" customFormat="1" ht="14.25" x14ac:dyDescent="0.2">
      <c r="A907" s="522"/>
      <c r="B907" s="522"/>
      <c r="C907" s="522">
        <v>132</v>
      </c>
      <c r="D907" s="522"/>
      <c r="E907" s="522"/>
      <c r="F907" s="522"/>
      <c r="G907" s="522">
        <v>280</v>
      </c>
      <c r="H907" s="522"/>
      <c r="I907" s="522"/>
      <c r="J907" s="531">
        <f>SUM(J905:J906)</f>
        <v>0</v>
      </c>
    </row>
    <row r="908" spans="1:10" ht="14.25" x14ac:dyDescent="0.2">
      <c r="A908" s="506"/>
      <c r="B908" s="520"/>
      <c r="C908" s="506">
        <v>132</v>
      </c>
      <c r="D908" s="506"/>
      <c r="E908" s="506" t="s">
        <v>520</v>
      </c>
      <c r="F908" s="506"/>
      <c r="G908" s="506">
        <v>270</v>
      </c>
      <c r="H908" s="506" t="s">
        <v>560</v>
      </c>
      <c r="I908" s="506" t="s">
        <v>519</v>
      </c>
      <c r="J908" s="525">
        <v>450</v>
      </c>
    </row>
    <row r="909" spans="1:10" ht="14.25" x14ac:dyDescent="0.2">
      <c r="A909" s="506"/>
      <c r="B909" s="520"/>
      <c r="C909" s="506">
        <v>132</v>
      </c>
      <c r="D909" s="506"/>
      <c r="E909" s="506" t="s">
        <v>516</v>
      </c>
      <c r="F909" s="506"/>
      <c r="G909" s="506">
        <v>270</v>
      </c>
      <c r="H909" s="506" t="s">
        <v>569</v>
      </c>
      <c r="I909" s="506" t="s">
        <v>519</v>
      </c>
      <c r="J909" s="525">
        <v>-120</v>
      </c>
    </row>
    <row r="910" spans="1:10" ht="14.25" x14ac:dyDescent="0.2">
      <c r="A910" s="506"/>
      <c r="B910" s="520"/>
      <c r="C910" s="506">
        <v>132</v>
      </c>
      <c r="D910" s="506"/>
      <c r="E910" s="506" t="s">
        <v>516</v>
      </c>
      <c r="F910" s="506"/>
      <c r="G910" s="506">
        <v>270</v>
      </c>
      <c r="H910" s="506" t="s">
        <v>561</v>
      </c>
      <c r="I910" s="506" t="s">
        <v>519</v>
      </c>
      <c r="J910" s="525">
        <v>-330</v>
      </c>
    </row>
    <row r="911" spans="1:10" s="514" customFormat="1" ht="14.25" x14ac:dyDescent="0.2">
      <c r="A911" s="522"/>
      <c r="B911" s="522"/>
      <c r="C911" s="522">
        <v>132</v>
      </c>
      <c r="D911" s="522"/>
      <c r="E911" s="522"/>
      <c r="F911" s="522"/>
      <c r="G911" s="522">
        <v>270</v>
      </c>
      <c r="H911" s="522"/>
      <c r="I911" s="522"/>
      <c r="J911" s="531">
        <f>SUM(J908:J910)</f>
        <v>0</v>
      </c>
    </row>
    <row r="912" spans="1:10" ht="14.25" x14ac:dyDescent="0.2">
      <c r="A912" s="506"/>
      <c r="B912" s="520"/>
      <c r="C912" s="506">
        <v>132</v>
      </c>
      <c r="D912" s="506"/>
      <c r="E912" s="506" t="s">
        <v>520</v>
      </c>
      <c r="F912" s="506"/>
      <c r="G912" s="506">
        <v>260</v>
      </c>
      <c r="H912" s="506" t="s">
        <v>570</v>
      </c>
      <c r="I912" s="506" t="s">
        <v>519</v>
      </c>
      <c r="J912" s="525">
        <v>229</v>
      </c>
    </row>
    <row r="913" spans="1:10" s="514" customFormat="1" ht="14.25" x14ac:dyDescent="0.2">
      <c r="A913" s="522"/>
      <c r="B913" s="522"/>
      <c r="C913" s="522">
        <v>132</v>
      </c>
      <c r="D913" s="522"/>
      <c r="E913" s="522"/>
      <c r="F913" s="522"/>
      <c r="G913" s="522">
        <v>260</v>
      </c>
      <c r="H913" s="522"/>
      <c r="I913" s="522"/>
      <c r="J913" s="531">
        <f>SUM(J912)</f>
        <v>229</v>
      </c>
    </row>
    <row r="914" spans="1:10" s="514" customFormat="1" ht="14.25" x14ac:dyDescent="0.2">
      <c r="A914" s="522"/>
      <c r="B914" s="522"/>
      <c r="C914" s="506">
        <v>132</v>
      </c>
      <c r="D914" s="506"/>
      <c r="E914" s="506" t="s">
        <v>516</v>
      </c>
      <c r="F914" s="506"/>
      <c r="G914" s="506">
        <v>250</v>
      </c>
      <c r="H914" s="506" t="s">
        <v>561</v>
      </c>
      <c r="I914" s="506" t="s">
        <v>519</v>
      </c>
      <c r="J914" s="525">
        <v>-7</v>
      </c>
    </row>
    <row r="915" spans="1:10" s="514" customFormat="1" ht="14.25" x14ac:dyDescent="0.2">
      <c r="A915" s="522"/>
      <c r="B915" s="522"/>
      <c r="C915" s="506">
        <v>132</v>
      </c>
      <c r="D915" s="506"/>
      <c r="E915" s="506" t="s">
        <v>520</v>
      </c>
      <c r="F915" s="506"/>
      <c r="G915" s="506">
        <v>250</v>
      </c>
      <c r="H915" s="506" t="s">
        <v>570</v>
      </c>
      <c r="I915" s="506" t="s">
        <v>519</v>
      </c>
      <c r="J915" s="525">
        <v>7</v>
      </c>
    </row>
    <row r="916" spans="1:10" s="514" customFormat="1" ht="14.25" x14ac:dyDescent="0.2">
      <c r="A916" s="522"/>
      <c r="B916" s="522"/>
      <c r="C916" s="522">
        <v>132</v>
      </c>
      <c r="D916" s="522"/>
      <c r="E916" s="522"/>
      <c r="F916" s="522"/>
      <c r="G916" s="522">
        <v>250</v>
      </c>
      <c r="H916" s="522"/>
      <c r="I916" s="522"/>
      <c r="J916" s="531">
        <f>SUM(J914:J915)</f>
        <v>0</v>
      </c>
    </row>
    <row r="917" spans="1:10" ht="14.25" x14ac:dyDescent="0.2">
      <c r="A917" s="506"/>
      <c r="B917" s="520"/>
      <c r="C917" s="506">
        <v>132</v>
      </c>
      <c r="D917" s="506"/>
      <c r="E917" s="506" t="s">
        <v>520</v>
      </c>
      <c r="F917" s="506"/>
      <c r="G917" s="506">
        <v>240</v>
      </c>
      <c r="H917" s="506" t="s">
        <v>560</v>
      </c>
      <c r="I917" s="506" t="s">
        <v>519</v>
      </c>
      <c r="J917" s="525">
        <v>54</v>
      </c>
    </row>
    <row r="918" spans="1:10" s="514" customFormat="1" ht="14.25" x14ac:dyDescent="0.2">
      <c r="A918" s="522"/>
      <c r="B918" s="522"/>
      <c r="C918" s="522">
        <v>132</v>
      </c>
      <c r="D918" s="522"/>
      <c r="E918" s="522"/>
      <c r="F918" s="522"/>
      <c r="G918" s="522">
        <v>240</v>
      </c>
      <c r="H918" s="522"/>
      <c r="I918" s="522"/>
      <c r="J918" s="531">
        <f>SUM(J917)</f>
        <v>54</v>
      </c>
    </row>
    <row r="919" spans="1:10" s="514" customFormat="1" ht="14.25" x14ac:dyDescent="0.2">
      <c r="A919" s="522"/>
      <c r="B919" s="522"/>
      <c r="C919" s="506">
        <v>132</v>
      </c>
      <c r="D919" s="506"/>
      <c r="E919" s="506" t="s">
        <v>520</v>
      </c>
      <c r="F919" s="506"/>
      <c r="G919" s="506">
        <v>230</v>
      </c>
      <c r="H919" s="506" t="s">
        <v>560</v>
      </c>
      <c r="I919" s="506" t="s">
        <v>519</v>
      </c>
      <c r="J919" s="525">
        <v>6</v>
      </c>
    </row>
    <row r="920" spans="1:10" s="514" customFormat="1" ht="14.25" x14ac:dyDescent="0.2">
      <c r="A920" s="522"/>
      <c r="B920" s="522"/>
      <c r="C920" s="522">
        <v>132</v>
      </c>
      <c r="D920" s="522"/>
      <c r="E920" s="522"/>
      <c r="F920" s="522"/>
      <c r="G920" s="522">
        <v>230</v>
      </c>
      <c r="H920" s="522"/>
      <c r="I920" s="522"/>
      <c r="J920" s="531">
        <f>SUM(J919)</f>
        <v>6</v>
      </c>
    </row>
    <row r="921" spans="1:10" ht="14.25" x14ac:dyDescent="0.2">
      <c r="A921" s="506"/>
      <c r="B921" s="520"/>
      <c r="C921" s="506">
        <v>132</v>
      </c>
      <c r="D921" s="506"/>
      <c r="E921" s="506" t="s">
        <v>516</v>
      </c>
      <c r="F921" s="506"/>
      <c r="G921" s="506">
        <v>220</v>
      </c>
      <c r="H921" s="506" t="s">
        <v>560</v>
      </c>
      <c r="I921" s="506" t="s">
        <v>519</v>
      </c>
      <c r="J921" s="525">
        <v>-1500</v>
      </c>
    </row>
    <row r="922" spans="1:10" s="514" customFormat="1" ht="14.25" x14ac:dyDescent="0.2">
      <c r="A922" s="522"/>
      <c r="B922" s="522"/>
      <c r="C922" s="522">
        <v>132</v>
      </c>
      <c r="D922" s="522"/>
      <c r="E922" s="522"/>
      <c r="F922" s="522"/>
      <c r="G922" s="522">
        <v>220</v>
      </c>
      <c r="H922" s="522"/>
      <c r="I922" s="522"/>
      <c r="J922" s="531">
        <f>SUM(J921)</f>
        <v>-1500</v>
      </c>
    </row>
    <row r="923" spans="1:10" ht="14.25" x14ac:dyDescent="0.2">
      <c r="A923" s="506"/>
      <c r="B923" s="520"/>
      <c r="C923" s="506">
        <v>132</v>
      </c>
      <c r="D923" s="506"/>
      <c r="E923" s="506" t="s">
        <v>520</v>
      </c>
      <c r="F923" s="506"/>
      <c r="G923" s="506">
        <v>180</v>
      </c>
      <c r="H923" s="506" t="s">
        <v>560</v>
      </c>
      <c r="I923" s="506" t="s">
        <v>519</v>
      </c>
      <c r="J923" s="525">
        <v>1200</v>
      </c>
    </row>
    <row r="924" spans="1:10" ht="14.25" x14ac:dyDescent="0.2">
      <c r="A924" s="506"/>
      <c r="B924" s="520"/>
      <c r="C924" s="506">
        <v>132</v>
      </c>
      <c r="D924" s="506"/>
      <c r="E924" s="506" t="s">
        <v>520</v>
      </c>
      <c r="F924" s="506"/>
      <c r="G924" s="506">
        <v>180</v>
      </c>
      <c r="H924" s="506" t="s">
        <v>569</v>
      </c>
      <c r="I924" s="506" t="s">
        <v>519</v>
      </c>
      <c r="J924" s="525">
        <v>2000</v>
      </c>
    </row>
    <row r="925" spans="1:10" s="514" customFormat="1" ht="14.25" x14ac:dyDescent="0.2">
      <c r="A925" s="522"/>
      <c r="B925" s="522"/>
      <c r="C925" s="522">
        <v>132</v>
      </c>
      <c r="D925" s="522"/>
      <c r="E925" s="522"/>
      <c r="F925" s="522"/>
      <c r="G925" s="522">
        <v>180</v>
      </c>
      <c r="H925" s="522"/>
      <c r="I925" s="522"/>
      <c r="J925" s="531">
        <f>SUM(J923:J924)</f>
        <v>3200</v>
      </c>
    </row>
    <row r="926" spans="1:10" ht="14.25" x14ac:dyDescent="0.2">
      <c r="A926" s="506"/>
      <c r="B926" s="520"/>
      <c r="C926" s="506">
        <v>132</v>
      </c>
      <c r="D926" s="506"/>
      <c r="E926" s="506" t="s">
        <v>520</v>
      </c>
      <c r="F926" s="506"/>
      <c r="G926" s="506">
        <v>150</v>
      </c>
      <c r="H926" s="506" t="s">
        <v>560</v>
      </c>
      <c r="I926" s="506" t="s">
        <v>519</v>
      </c>
      <c r="J926" s="525">
        <v>100</v>
      </c>
    </row>
    <row r="927" spans="1:10" ht="14.25" x14ac:dyDescent="0.2">
      <c r="A927" s="506"/>
      <c r="B927" s="520"/>
      <c r="C927" s="506">
        <v>132</v>
      </c>
      <c r="D927" s="506"/>
      <c r="E927" s="506" t="s">
        <v>516</v>
      </c>
      <c r="F927" s="506"/>
      <c r="G927" s="506">
        <v>150</v>
      </c>
      <c r="H927" s="506" t="s">
        <v>570</v>
      </c>
      <c r="I927" s="506" t="s">
        <v>519</v>
      </c>
      <c r="J927" s="525">
        <v>-100</v>
      </c>
    </row>
    <row r="928" spans="1:10" s="514" customFormat="1" ht="14.25" x14ac:dyDescent="0.2">
      <c r="A928" s="522"/>
      <c r="B928" s="522"/>
      <c r="C928" s="522">
        <v>132</v>
      </c>
      <c r="D928" s="522"/>
      <c r="E928" s="522"/>
      <c r="F928" s="522"/>
      <c r="G928" s="522">
        <v>150</v>
      </c>
      <c r="H928" s="522"/>
      <c r="I928" s="522"/>
      <c r="J928" s="531">
        <f>SUM(J926:J927)</f>
        <v>0</v>
      </c>
    </row>
    <row r="929" spans="1:10" s="514" customFormat="1" ht="14.25" x14ac:dyDescent="0.2">
      <c r="A929" s="522"/>
      <c r="B929" s="522"/>
      <c r="C929" s="506">
        <v>132</v>
      </c>
      <c r="D929" s="506"/>
      <c r="E929" s="506" t="s">
        <v>516</v>
      </c>
      <c r="F929" s="506"/>
      <c r="G929" s="506">
        <v>130</v>
      </c>
      <c r="H929" s="506" t="s">
        <v>560</v>
      </c>
      <c r="I929" s="506" t="s">
        <v>519</v>
      </c>
      <c r="J929" s="525">
        <v>-212</v>
      </c>
    </row>
    <row r="930" spans="1:10" s="514" customFormat="1" ht="14.25" x14ac:dyDescent="0.2">
      <c r="A930" s="522"/>
      <c r="B930" s="522"/>
      <c r="C930" s="506">
        <v>132</v>
      </c>
      <c r="D930" s="506"/>
      <c r="E930" s="506" t="s">
        <v>520</v>
      </c>
      <c r="F930" s="506"/>
      <c r="G930" s="506">
        <v>130</v>
      </c>
      <c r="H930" s="506" t="s">
        <v>569</v>
      </c>
      <c r="I930" s="506" t="s">
        <v>519</v>
      </c>
      <c r="J930" s="525">
        <v>212</v>
      </c>
    </row>
    <row r="931" spans="1:10" s="514" customFormat="1" ht="14.25" x14ac:dyDescent="0.2">
      <c r="A931" s="522"/>
      <c r="B931" s="522"/>
      <c r="C931" s="522">
        <v>132</v>
      </c>
      <c r="D931" s="522"/>
      <c r="E931" s="522"/>
      <c r="F931" s="522"/>
      <c r="G931" s="522">
        <v>130</v>
      </c>
      <c r="H931" s="522"/>
      <c r="I931" s="522"/>
      <c r="J931" s="531">
        <f>SUM(J929:J930)</f>
        <v>0</v>
      </c>
    </row>
    <row r="932" spans="1:10" ht="14.25" x14ac:dyDescent="0.2">
      <c r="A932" s="506"/>
      <c r="B932" s="520"/>
      <c r="C932" s="506">
        <v>132</v>
      </c>
      <c r="D932" s="506"/>
      <c r="E932" s="506" t="s">
        <v>520</v>
      </c>
      <c r="F932" s="506"/>
      <c r="G932" s="506">
        <v>120</v>
      </c>
      <c r="H932" s="506" t="s">
        <v>560</v>
      </c>
      <c r="I932" s="506" t="s">
        <v>519</v>
      </c>
      <c r="J932" s="525">
        <v>85</v>
      </c>
    </row>
    <row r="933" spans="1:10" s="514" customFormat="1" ht="14.25" x14ac:dyDescent="0.2">
      <c r="A933" s="522"/>
      <c r="B933" s="522"/>
      <c r="C933" s="522">
        <v>132</v>
      </c>
      <c r="D933" s="522"/>
      <c r="E933" s="522"/>
      <c r="F933" s="522"/>
      <c r="G933" s="522">
        <v>120</v>
      </c>
      <c r="H933" s="522"/>
      <c r="I933" s="522"/>
      <c r="J933" s="531">
        <f>SUM(J932)</f>
        <v>85</v>
      </c>
    </row>
    <row r="934" spans="1:10" ht="14.25" x14ac:dyDescent="0.2">
      <c r="A934" s="506"/>
      <c r="B934" s="520"/>
      <c r="C934" s="506">
        <v>132</v>
      </c>
      <c r="D934" s="506"/>
      <c r="E934" s="506" t="s">
        <v>516</v>
      </c>
      <c r="F934" s="506"/>
      <c r="G934" s="506">
        <v>90</v>
      </c>
      <c r="H934" s="506" t="s">
        <v>560</v>
      </c>
      <c r="I934" s="506" t="s">
        <v>519</v>
      </c>
      <c r="J934" s="525">
        <v>-400</v>
      </c>
    </row>
    <row r="935" spans="1:10" ht="14.25" x14ac:dyDescent="0.2">
      <c r="A935" s="506"/>
      <c r="B935" s="520"/>
      <c r="C935" s="506">
        <v>132</v>
      </c>
      <c r="D935" s="506"/>
      <c r="E935" s="506" t="s">
        <v>520</v>
      </c>
      <c r="F935" s="506"/>
      <c r="G935" s="506">
        <v>90</v>
      </c>
      <c r="H935" s="506" t="s">
        <v>561</v>
      </c>
      <c r="I935" s="506" t="s">
        <v>519</v>
      </c>
      <c r="J935" s="525">
        <v>400</v>
      </c>
    </row>
    <row r="936" spans="1:10" s="514" customFormat="1" ht="14.25" x14ac:dyDescent="0.2">
      <c r="A936" s="522"/>
      <c r="B936" s="522"/>
      <c r="C936" s="522">
        <v>132</v>
      </c>
      <c r="D936" s="522"/>
      <c r="E936" s="522"/>
      <c r="F936" s="522"/>
      <c r="G936" s="522">
        <v>90</v>
      </c>
      <c r="H936" s="522"/>
      <c r="I936" s="522"/>
      <c r="J936" s="531">
        <f>SUM(J934:J935)</f>
        <v>0</v>
      </c>
    </row>
    <row r="937" spans="1:10" ht="14.25" x14ac:dyDescent="0.2">
      <c r="A937" s="506"/>
      <c r="B937" s="520"/>
      <c r="C937" s="506">
        <v>132</v>
      </c>
      <c r="D937" s="506"/>
      <c r="E937" s="506" t="s">
        <v>520</v>
      </c>
      <c r="F937" s="506"/>
      <c r="G937" s="506">
        <v>20</v>
      </c>
      <c r="H937" s="506" t="s">
        <v>570</v>
      </c>
      <c r="I937" s="506" t="s">
        <v>519</v>
      </c>
      <c r="J937" s="525">
        <v>4240</v>
      </c>
    </row>
    <row r="938" spans="1:10" ht="14.25" x14ac:dyDescent="0.2">
      <c r="A938" s="506"/>
      <c r="B938" s="520"/>
      <c r="C938" s="506">
        <v>132</v>
      </c>
      <c r="D938" s="506"/>
      <c r="E938" s="506" t="s">
        <v>516</v>
      </c>
      <c r="F938" s="506"/>
      <c r="G938" s="506">
        <v>20</v>
      </c>
      <c r="H938" s="506" t="s">
        <v>525</v>
      </c>
      <c r="I938" s="506" t="s">
        <v>519</v>
      </c>
      <c r="J938" s="525">
        <v>-4240</v>
      </c>
    </row>
    <row r="939" spans="1:10" s="514" customFormat="1" ht="14.25" x14ac:dyDescent="0.2">
      <c r="A939" s="522"/>
      <c r="B939" s="522"/>
      <c r="C939" s="522">
        <v>132</v>
      </c>
      <c r="D939" s="522"/>
      <c r="E939" s="522"/>
      <c r="F939" s="522"/>
      <c r="G939" s="522">
        <v>20</v>
      </c>
      <c r="H939" s="522"/>
      <c r="I939" s="522"/>
      <c r="J939" s="531">
        <f>SUM(J937:J938)</f>
        <v>0</v>
      </c>
    </row>
    <row r="940" spans="1:10" ht="14.25" x14ac:dyDescent="0.2">
      <c r="A940" s="506"/>
      <c r="B940" s="520"/>
      <c r="C940" s="506">
        <v>132</v>
      </c>
      <c r="D940" s="506"/>
      <c r="E940" s="506" t="s">
        <v>516</v>
      </c>
      <c r="F940" s="506"/>
      <c r="G940" s="506">
        <v>43</v>
      </c>
      <c r="H940" s="506" t="s">
        <v>571</v>
      </c>
      <c r="I940" s="506" t="s">
        <v>519</v>
      </c>
      <c r="J940" s="525">
        <v>-132</v>
      </c>
    </row>
    <row r="941" spans="1:10" ht="14.25" x14ac:dyDescent="0.2">
      <c r="A941" s="506"/>
      <c r="B941" s="520"/>
      <c r="C941" s="506">
        <v>132</v>
      </c>
      <c r="D941" s="506"/>
      <c r="E941" s="506" t="s">
        <v>520</v>
      </c>
      <c r="F941" s="506"/>
      <c r="G941" s="506">
        <v>43</v>
      </c>
      <c r="H941" s="506" t="s">
        <v>572</v>
      </c>
      <c r="I941" s="506" t="s">
        <v>519</v>
      </c>
      <c r="J941" s="525">
        <v>132</v>
      </c>
    </row>
    <row r="942" spans="1:10" ht="14.25" x14ac:dyDescent="0.2">
      <c r="A942" s="506"/>
      <c r="B942" s="520"/>
      <c r="C942" s="506">
        <v>132</v>
      </c>
      <c r="D942" s="506"/>
      <c r="E942" s="506" t="s">
        <v>516</v>
      </c>
      <c r="F942" s="506"/>
      <c r="G942" s="506">
        <v>43</v>
      </c>
      <c r="H942" s="506" t="s">
        <v>560</v>
      </c>
      <c r="I942" s="506" t="s">
        <v>519</v>
      </c>
      <c r="J942" s="525">
        <v>-6</v>
      </c>
    </row>
    <row r="943" spans="1:10" s="514" customFormat="1" ht="14.25" x14ac:dyDescent="0.2">
      <c r="A943" s="510" t="s">
        <v>748</v>
      </c>
      <c r="B943" s="512"/>
      <c r="C943" s="512">
        <v>132</v>
      </c>
      <c r="D943" s="512"/>
      <c r="E943" s="512"/>
      <c r="F943" s="512"/>
      <c r="G943" s="512">
        <v>43</v>
      </c>
      <c r="H943" s="512"/>
      <c r="I943" s="512"/>
      <c r="J943" s="527">
        <f>SUM(J940:J942)</f>
        <v>-6</v>
      </c>
    </row>
    <row r="944" spans="1:10" x14ac:dyDescent="0.2">
      <c r="A944" s="569"/>
      <c r="B944" s="569"/>
      <c r="C944" s="569"/>
      <c r="D944" s="569"/>
      <c r="E944" s="569"/>
      <c r="F944" s="569"/>
      <c r="G944" s="569"/>
      <c r="H944" s="569"/>
      <c r="I944" s="569"/>
      <c r="J944" s="601"/>
    </row>
    <row r="945" spans="1:10" ht="14.25" x14ac:dyDescent="0.2">
      <c r="A945" s="506">
        <v>702</v>
      </c>
      <c r="B945" s="520">
        <v>42002</v>
      </c>
      <c r="C945" s="506">
        <v>132</v>
      </c>
      <c r="D945" s="506" t="s">
        <v>749</v>
      </c>
      <c r="E945" s="506" t="s">
        <v>516</v>
      </c>
      <c r="F945" s="590" t="s">
        <v>517</v>
      </c>
      <c r="G945" s="506">
        <v>140</v>
      </c>
      <c r="H945" s="506" t="s">
        <v>598</v>
      </c>
      <c r="I945" s="506" t="s">
        <v>519</v>
      </c>
      <c r="J945" s="525">
        <v>-2920</v>
      </c>
    </row>
    <row r="946" spans="1:10" ht="14.25" x14ac:dyDescent="0.2">
      <c r="A946" s="506"/>
      <c r="B946" s="520"/>
      <c r="C946" s="506">
        <v>132</v>
      </c>
      <c r="D946" s="506"/>
      <c r="E946" s="506" t="s">
        <v>520</v>
      </c>
      <c r="F946" s="590" t="s">
        <v>521</v>
      </c>
      <c r="G946" s="506">
        <v>140</v>
      </c>
      <c r="H946" s="506" t="s">
        <v>705</v>
      </c>
      <c r="I946" s="506" t="s">
        <v>519</v>
      </c>
      <c r="J946" s="525">
        <v>2920</v>
      </c>
    </row>
    <row r="947" spans="1:10" s="514" customFormat="1" ht="15" x14ac:dyDescent="0.25">
      <c r="A947" s="510" t="s">
        <v>750</v>
      </c>
      <c r="B947" s="512"/>
      <c r="C947" s="550">
        <v>132</v>
      </c>
      <c r="D947" s="550"/>
      <c r="E947" s="550"/>
      <c r="F947" s="550"/>
      <c r="G947" s="550">
        <v>140</v>
      </c>
      <c r="H947" s="550"/>
      <c r="I947" s="550"/>
      <c r="J947" s="552">
        <v>0</v>
      </c>
    </row>
    <row r="948" spans="1:10" x14ac:dyDescent="0.2">
      <c r="A948" s="569"/>
      <c r="B948" s="569"/>
      <c r="C948" s="569"/>
      <c r="D948" s="569"/>
      <c r="E948" s="569"/>
      <c r="F948" s="569"/>
      <c r="G948" s="569"/>
      <c r="H948" s="569"/>
      <c r="I948" s="569"/>
      <c r="J948" s="601"/>
    </row>
    <row r="949" spans="1:10" ht="14.25" x14ac:dyDescent="0.2">
      <c r="A949" s="506">
        <v>759</v>
      </c>
      <c r="B949" s="520">
        <v>42002</v>
      </c>
      <c r="C949" s="506">
        <v>133</v>
      </c>
      <c r="D949" s="506" t="s">
        <v>751</v>
      </c>
      <c r="E949" s="506" t="s">
        <v>516</v>
      </c>
      <c r="F949" s="590" t="s">
        <v>517</v>
      </c>
      <c r="G949" s="506">
        <v>31</v>
      </c>
      <c r="H949" s="506" t="s">
        <v>752</v>
      </c>
      <c r="I949" s="506" t="s">
        <v>519</v>
      </c>
      <c r="J949" s="525">
        <v>-310</v>
      </c>
    </row>
    <row r="950" spans="1:10" ht="14.25" x14ac:dyDescent="0.2">
      <c r="A950" s="506"/>
      <c r="B950" s="520"/>
      <c r="C950" s="506"/>
      <c r="D950" s="506"/>
      <c r="E950" s="506" t="s">
        <v>516</v>
      </c>
      <c r="F950" s="590" t="s">
        <v>521</v>
      </c>
      <c r="G950" s="506"/>
      <c r="H950" s="506" t="s">
        <v>753</v>
      </c>
      <c r="I950" s="506" t="s">
        <v>519</v>
      </c>
      <c r="J950" s="525">
        <v>-80</v>
      </c>
    </row>
    <row r="951" spans="1:10" ht="14.25" x14ac:dyDescent="0.2">
      <c r="A951" s="506"/>
      <c r="B951" s="520"/>
      <c r="C951" s="506"/>
      <c r="D951" s="506"/>
      <c r="E951" s="506" t="s">
        <v>516</v>
      </c>
      <c r="F951" s="506"/>
      <c r="G951" s="506"/>
      <c r="H951" s="506" t="s">
        <v>754</v>
      </c>
      <c r="I951" s="506" t="s">
        <v>519</v>
      </c>
      <c r="J951" s="525">
        <v>-920</v>
      </c>
    </row>
    <row r="952" spans="1:10" ht="14.25" x14ac:dyDescent="0.2">
      <c r="A952" s="506"/>
      <c r="B952" s="520"/>
      <c r="C952" s="506"/>
      <c r="D952" s="506"/>
      <c r="E952" s="506" t="s">
        <v>520</v>
      </c>
      <c r="F952" s="506"/>
      <c r="G952" s="506"/>
      <c r="H952" s="506" t="s">
        <v>755</v>
      </c>
      <c r="I952" s="506" t="s">
        <v>519</v>
      </c>
      <c r="J952" s="525">
        <v>20</v>
      </c>
    </row>
    <row r="953" spans="1:10" ht="14.25" x14ac:dyDescent="0.2">
      <c r="A953" s="506"/>
      <c r="B953" s="520"/>
      <c r="C953" s="506"/>
      <c r="D953" s="506"/>
      <c r="E953" s="506" t="s">
        <v>520</v>
      </c>
      <c r="F953" s="506"/>
      <c r="G953" s="506"/>
      <c r="H953" s="506" t="s">
        <v>756</v>
      </c>
      <c r="I953" s="506" t="s">
        <v>519</v>
      </c>
      <c r="J953" s="525">
        <v>160</v>
      </c>
    </row>
    <row r="954" spans="1:10" ht="14.25" x14ac:dyDescent="0.2">
      <c r="A954" s="506"/>
      <c r="B954" s="520"/>
      <c r="C954" s="506"/>
      <c r="D954" s="506"/>
      <c r="E954" s="506" t="s">
        <v>520</v>
      </c>
      <c r="F954" s="506"/>
      <c r="G954" s="506"/>
      <c r="H954" s="506" t="s">
        <v>757</v>
      </c>
      <c r="I954" s="506" t="s">
        <v>519</v>
      </c>
      <c r="J954" s="525">
        <v>10</v>
      </c>
    </row>
    <row r="955" spans="1:10" ht="14.25" x14ac:dyDescent="0.2">
      <c r="A955" s="506"/>
      <c r="B955" s="520"/>
      <c r="C955" s="506"/>
      <c r="D955" s="506"/>
      <c r="E955" s="506" t="s">
        <v>520</v>
      </c>
      <c r="F955" s="506"/>
      <c r="G955" s="506"/>
      <c r="H955" s="506" t="s">
        <v>758</v>
      </c>
      <c r="I955" s="506" t="s">
        <v>519</v>
      </c>
      <c r="J955" s="525">
        <v>10</v>
      </c>
    </row>
    <row r="956" spans="1:10" ht="14.25" x14ac:dyDescent="0.2">
      <c r="A956" s="506"/>
      <c r="B956" s="520"/>
      <c r="C956" s="506"/>
      <c r="D956" s="506"/>
      <c r="E956" s="506" t="s">
        <v>520</v>
      </c>
      <c r="F956" s="506"/>
      <c r="G956" s="506"/>
      <c r="H956" s="506" t="s">
        <v>759</v>
      </c>
      <c r="I956" s="506" t="s">
        <v>519</v>
      </c>
      <c r="J956" s="525">
        <v>60</v>
      </c>
    </row>
    <row r="957" spans="1:10" ht="14.25" x14ac:dyDescent="0.2">
      <c r="A957" s="506"/>
      <c r="B957" s="520"/>
      <c r="C957" s="506"/>
      <c r="D957" s="506"/>
      <c r="E957" s="506" t="s">
        <v>520</v>
      </c>
      <c r="F957" s="506"/>
      <c r="G957" s="506"/>
      <c r="H957" s="506" t="s">
        <v>760</v>
      </c>
      <c r="I957" s="506" t="s">
        <v>519</v>
      </c>
      <c r="J957" s="525">
        <v>1050</v>
      </c>
    </row>
    <row r="958" spans="1:10" s="514" customFormat="1" ht="14.25" x14ac:dyDescent="0.2">
      <c r="A958" s="522"/>
      <c r="B958" s="522"/>
      <c r="C958" s="522">
        <v>133</v>
      </c>
      <c r="D958" s="522"/>
      <c r="E958" s="522"/>
      <c r="F958" s="522"/>
      <c r="G958" s="522">
        <v>31</v>
      </c>
      <c r="H958" s="522"/>
      <c r="I958" s="522"/>
      <c r="J958" s="531">
        <f>SUM(J949:J957)</f>
        <v>0</v>
      </c>
    </row>
    <row r="959" spans="1:10" ht="14.25" x14ac:dyDescent="0.2">
      <c r="A959" s="506"/>
      <c r="B959" s="520"/>
      <c r="C959" s="506">
        <v>132</v>
      </c>
      <c r="D959" s="506"/>
      <c r="E959" s="506" t="s">
        <v>516</v>
      </c>
      <c r="F959" s="506"/>
      <c r="G959" s="506">
        <v>31</v>
      </c>
      <c r="H959" s="506" t="s">
        <v>761</v>
      </c>
      <c r="I959" s="506" t="s">
        <v>519</v>
      </c>
      <c r="J959" s="525">
        <v>-10000</v>
      </c>
    </row>
    <row r="960" spans="1:10" ht="14.25" x14ac:dyDescent="0.2">
      <c r="A960" s="506"/>
      <c r="B960" s="520"/>
      <c r="C960" s="506"/>
      <c r="D960" s="506"/>
      <c r="E960" s="506" t="s">
        <v>520</v>
      </c>
      <c r="F960" s="506"/>
      <c r="G960" s="506"/>
      <c r="H960" s="506" t="s">
        <v>615</v>
      </c>
      <c r="I960" s="506" t="s">
        <v>519</v>
      </c>
      <c r="J960" s="525">
        <v>10000</v>
      </c>
    </row>
    <row r="961" spans="1:10" ht="14.25" x14ac:dyDescent="0.2">
      <c r="A961" s="506"/>
      <c r="B961" s="520"/>
      <c r="C961" s="506"/>
      <c r="D961" s="506"/>
      <c r="E961" s="506" t="s">
        <v>516</v>
      </c>
      <c r="F961" s="506"/>
      <c r="G961" s="506"/>
      <c r="H961" s="506" t="s">
        <v>762</v>
      </c>
      <c r="I961" s="506" t="s">
        <v>519</v>
      </c>
      <c r="J961" s="525">
        <v>-10100</v>
      </c>
    </row>
    <row r="962" spans="1:10" ht="14.25" x14ac:dyDescent="0.2">
      <c r="A962" s="506"/>
      <c r="B962" s="520"/>
      <c r="C962" s="506"/>
      <c r="D962" s="506"/>
      <c r="E962" s="506" t="s">
        <v>520</v>
      </c>
      <c r="F962" s="506"/>
      <c r="G962" s="506"/>
      <c r="H962" s="506" t="s">
        <v>763</v>
      </c>
      <c r="I962" s="506" t="s">
        <v>519</v>
      </c>
      <c r="J962" s="525">
        <v>10100</v>
      </c>
    </row>
    <row r="963" spans="1:10" ht="14.25" x14ac:dyDescent="0.2">
      <c r="A963" s="506"/>
      <c r="B963" s="520"/>
      <c r="C963" s="506"/>
      <c r="D963" s="506"/>
      <c r="E963" s="506" t="s">
        <v>516</v>
      </c>
      <c r="F963" s="506"/>
      <c r="G963" s="506"/>
      <c r="H963" s="506" t="s">
        <v>552</v>
      </c>
      <c r="I963" s="506" t="s">
        <v>519</v>
      </c>
      <c r="J963" s="525">
        <v>-6500</v>
      </c>
    </row>
    <row r="964" spans="1:10" ht="14.25" x14ac:dyDescent="0.2">
      <c r="A964" s="506"/>
      <c r="B964" s="520"/>
      <c r="C964" s="506"/>
      <c r="D964" s="506"/>
      <c r="E964" s="506" t="s">
        <v>520</v>
      </c>
      <c r="F964" s="506"/>
      <c r="G964" s="506"/>
      <c r="H964" s="506" t="s">
        <v>551</v>
      </c>
      <c r="I964" s="506" t="s">
        <v>519</v>
      </c>
      <c r="J964" s="525">
        <v>6500</v>
      </c>
    </row>
    <row r="965" spans="1:10" ht="14.25" x14ac:dyDescent="0.2">
      <c r="A965" s="506"/>
      <c r="B965" s="520"/>
      <c r="C965" s="506"/>
      <c r="D965" s="506"/>
      <c r="E965" s="506" t="s">
        <v>520</v>
      </c>
      <c r="F965" s="506"/>
      <c r="G965" s="506"/>
      <c r="H965" s="506" t="s">
        <v>539</v>
      </c>
      <c r="I965" s="506" t="s">
        <v>519</v>
      </c>
      <c r="J965" s="525">
        <v>140848</v>
      </c>
    </row>
    <row r="966" spans="1:10" ht="14.25" x14ac:dyDescent="0.2">
      <c r="A966" s="506"/>
      <c r="B966" s="520"/>
      <c r="C966" s="506"/>
      <c r="D966" s="506"/>
      <c r="E966" s="506" t="s">
        <v>520</v>
      </c>
      <c r="F966" s="506"/>
      <c r="G966" s="506"/>
      <c r="H966" s="506" t="s">
        <v>764</v>
      </c>
      <c r="I966" s="506" t="s">
        <v>519</v>
      </c>
      <c r="J966" s="525">
        <v>14241</v>
      </c>
    </row>
    <row r="967" spans="1:10" ht="14.25" x14ac:dyDescent="0.2">
      <c r="A967" s="506"/>
      <c r="B967" s="520"/>
      <c r="C967" s="506"/>
      <c r="D967" s="506"/>
      <c r="E967" s="506" t="s">
        <v>520</v>
      </c>
      <c r="F967" s="506"/>
      <c r="G967" s="506"/>
      <c r="H967" s="506" t="s">
        <v>540</v>
      </c>
      <c r="I967" s="506" t="s">
        <v>519</v>
      </c>
      <c r="J967" s="525">
        <v>20127</v>
      </c>
    </row>
    <row r="968" spans="1:10" ht="14.25" x14ac:dyDescent="0.2">
      <c r="A968" s="506"/>
      <c r="B968" s="520"/>
      <c r="C968" s="506"/>
      <c r="D968" s="506"/>
      <c r="E968" s="506" t="s">
        <v>516</v>
      </c>
      <c r="F968" s="506"/>
      <c r="G968" s="506"/>
      <c r="H968" s="506" t="s">
        <v>537</v>
      </c>
      <c r="I968" s="506" t="s">
        <v>519</v>
      </c>
      <c r="J968" s="525">
        <v>-378677</v>
      </c>
    </row>
    <row r="969" spans="1:10" ht="14.25" x14ac:dyDescent="0.2">
      <c r="A969" s="506"/>
      <c r="B969" s="520"/>
      <c r="C969" s="506"/>
      <c r="D969" s="506"/>
      <c r="E969" s="506" t="s">
        <v>520</v>
      </c>
      <c r="F969" s="506"/>
      <c r="G969" s="506"/>
      <c r="H969" s="506" t="s">
        <v>541</v>
      </c>
      <c r="I969" s="506" t="s">
        <v>519</v>
      </c>
      <c r="J969" s="525">
        <v>12703</v>
      </c>
    </row>
    <row r="970" spans="1:10" ht="14.25" x14ac:dyDescent="0.2">
      <c r="A970" s="506"/>
      <c r="B970" s="520"/>
      <c r="C970" s="506"/>
      <c r="D970" s="506"/>
      <c r="E970" s="506" t="s">
        <v>520</v>
      </c>
      <c r="F970" s="506"/>
      <c r="G970" s="506"/>
      <c r="H970" s="506" t="s">
        <v>542</v>
      </c>
      <c r="I970" s="506" t="s">
        <v>519</v>
      </c>
      <c r="J970" s="525">
        <v>25844</v>
      </c>
    </row>
    <row r="971" spans="1:10" ht="14.25" x14ac:dyDescent="0.2">
      <c r="A971" s="506"/>
      <c r="B971" s="520"/>
      <c r="C971" s="506"/>
      <c r="D971" s="506"/>
      <c r="E971" s="506" t="s">
        <v>520</v>
      </c>
      <c r="F971" s="506"/>
      <c r="G971" s="506"/>
      <c r="H971" s="506" t="s">
        <v>543</v>
      </c>
      <c r="I971" s="506" t="s">
        <v>519</v>
      </c>
      <c r="J971" s="525">
        <v>9375</v>
      </c>
    </row>
    <row r="972" spans="1:10" ht="14.25" x14ac:dyDescent="0.2">
      <c r="A972" s="506"/>
      <c r="B972" s="520"/>
      <c r="C972" s="506"/>
      <c r="D972" s="506"/>
      <c r="E972" s="506" t="s">
        <v>520</v>
      </c>
      <c r="F972" s="506"/>
      <c r="G972" s="506"/>
      <c r="H972" s="506" t="s">
        <v>544</v>
      </c>
      <c r="I972" s="506" t="s">
        <v>519</v>
      </c>
      <c r="J972" s="525">
        <v>3748</v>
      </c>
    </row>
    <row r="973" spans="1:10" ht="14.25" x14ac:dyDescent="0.2">
      <c r="A973" s="506"/>
      <c r="B973" s="520"/>
      <c r="C973" s="506"/>
      <c r="D973" s="506"/>
      <c r="E973" s="506" t="s">
        <v>520</v>
      </c>
      <c r="F973" s="506"/>
      <c r="G973" s="506"/>
      <c r="H973" s="506" t="s">
        <v>545</v>
      </c>
      <c r="I973" s="506" t="s">
        <v>519</v>
      </c>
      <c r="J973" s="525">
        <v>96983</v>
      </c>
    </row>
    <row r="974" spans="1:10" ht="14.25" x14ac:dyDescent="0.2">
      <c r="A974" s="506"/>
      <c r="B974" s="520"/>
      <c r="C974" s="506"/>
      <c r="D974" s="506"/>
      <c r="E974" s="506" t="s">
        <v>520</v>
      </c>
      <c r="F974" s="506"/>
      <c r="G974" s="506"/>
      <c r="H974" s="506" t="s">
        <v>546</v>
      </c>
      <c r="I974" s="506" t="s">
        <v>519</v>
      </c>
      <c r="J974" s="525">
        <v>54808</v>
      </c>
    </row>
    <row r="975" spans="1:10" ht="14.25" x14ac:dyDescent="0.2">
      <c r="A975" s="506"/>
      <c r="B975" s="520"/>
      <c r="C975" s="506"/>
      <c r="D975" s="506"/>
      <c r="E975" s="506" t="s">
        <v>516</v>
      </c>
      <c r="F975" s="506"/>
      <c r="G975" s="506"/>
      <c r="H975" s="506" t="s">
        <v>529</v>
      </c>
      <c r="I975" s="506" t="s">
        <v>519</v>
      </c>
      <c r="J975" s="525">
        <v>-40000</v>
      </c>
    </row>
    <row r="976" spans="1:10" ht="14.25" x14ac:dyDescent="0.2">
      <c r="A976" s="506"/>
      <c r="B976" s="520"/>
      <c r="C976" s="506"/>
      <c r="D976" s="506"/>
      <c r="E976" s="506" t="s">
        <v>516</v>
      </c>
      <c r="F976" s="506"/>
      <c r="G976" s="506"/>
      <c r="H976" s="506" t="s">
        <v>612</v>
      </c>
      <c r="I976" s="506" t="s">
        <v>519</v>
      </c>
      <c r="J976" s="525">
        <v>-50000</v>
      </c>
    </row>
    <row r="977" spans="1:10" ht="14.25" x14ac:dyDescent="0.2">
      <c r="A977" s="506"/>
      <c r="B977" s="520"/>
      <c r="C977" s="506"/>
      <c r="D977" s="506"/>
      <c r="E977" s="506" t="s">
        <v>520</v>
      </c>
      <c r="F977" s="506"/>
      <c r="G977" s="506"/>
      <c r="H977" s="506" t="s">
        <v>617</v>
      </c>
      <c r="I977" s="506" t="s">
        <v>519</v>
      </c>
      <c r="J977" s="525">
        <v>90000</v>
      </c>
    </row>
    <row r="978" spans="1:10" s="514" customFormat="1" ht="14.25" x14ac:dyDescent="0.2">
      <c r="A978" s="510" t="s">
        <v>765</v>
      </c>
      <c r="B978" s="512"/>
      <c r="C978" s="512">
        <v>132</v>
      </c>
      <c r="D978" s="512"/>
      <c r="E978" s="512"/>
      <c r="F978" s="512"/>
      <c r="G978" s="512">
        <v>31</v>
      </c>
      <c r="H978" s="512"/>
      <c r="I978" s="512"/>
      <c r="J978" s="527">
        <f>SUM(J959:J977)</f>
        <v>0</v>
      </c>
    </row>
    <row r="979" spans="1:10" x14ac:dyDescent="0.2">
      <c r="A979" s="569"/>
      <c r="B979" s="569"/>
      <c r="C979" s="569"/>
      <c r="D979" s="569"/>
      <c r="E979" s="569"/>
      <c r="F979" s="569"/>
      <c r="G979" s="569"/>
      <c r="H979" s="569"/>
      <c r="I979" s="569"/>
      <c r="J979" s="569"/>
    </row>
    <row r="980" spans="1:10" ht="14.25" x14ac:dyDescent="0.2">
      <c r="A980" s="506">
        <v>771</v>
      </c>
      <c r="B980" s="520">
        <v>42003</v>
      </c>
      <c r="C980" s="506">
        <v>132</v>
      </c>
      <c r="D980" s="506" t="s">
        <v>766</v>
      </c>
      <c r="E980" s="506" t="s">
        <v>520</v>
      </c>
      <c r="F980" s="590" t="s">
        <v>517</v>
      </c>
      <c r="G980" s="506">
        <v>390</v>
      </c>
      <c r="H980" s="506" t="s">
        <v>538</v>
      </c>
      <c r="I980" s="506" t="s">
        <v>519</v>
      </c>
      <c r="J980" s="525">
        <v>19817</v>
      </c>
    </row>
    <row r="981" spans="1:10" ht="14.25" x14ac:dyDescent="0.2">
      <c r="A981" s="506"/>
      <c r="B981" s="520"/>
      <c r="C981" s="506"/>
      <c r="D981" s="506"/>
      <c r="E981" s="506" t="s">
        <v>520</v>
      </c>
      <c r="F981" s="590" t="s">
        <v>521</v>
      </c>
      <c r="G981" s="506"/>
      <c r="H981" s="506" t="s">
        <v>537</v>
      </c>
      <c r="I981" s="506" t="s">
        <v>519</v>
      </c>
      <c r="J981" s="525">
        <v>5476</v>
      </c>
    </row>
    <row r="982" spans="1:10" s="514" customFormat="1" ht="14.25" x14ac:dyDescent="0.2">
      <c r="A982" s="522"/>
      <c r="B982" s="522"/>
      <c r="C982" s="522">
        <v>132</v>
      </c>
      <c r="D982" s="522"/>
      <c r="E982" s="522"/>
      <c r="F982" s="522"/>
      <c r="G982" s="522">
        <v>390</v>
      </c>
      <c r="H982" s="522"/>
      <c r="I982" s="522"/>
      <c r="J982" s="531">
        <f>SUM(J980:J981)</f>
        <v>25293</v>
      </c>
    </row>
    <row r="983" spans="1:10" ht="14.25" x14ac:dyDescent="0.2">
      <c r="A983" s="506"/>
      <c r="B983" s="520"/>
      <c r="C983" s="506">
        <v>132</v>
      </c>
      <c r="D983" s="506"/>
      <c r="E983" s="506" t="s">
        <v>520</v>
      </c>
      <c r="F983" s="506"/>
      <c r="G983" s="506">
        <v>380</v>
      </c>
      <c r="H983" s="506" t="s">
        <v>538</v>
      </c>
      <c r="I983" s="506" t="s">
        <v>519</v>
      </c>
      <c r="J983" s="525">
        <v>18949</v>
      </c>
    </row>
    <row r="984" spans="1:10" ht="14.25" x14ac:dyDescent="0.2">
      <c r="A984" s="506"/>
      <c r="B984" s="520"/>
      <c r="C984" s="506"/>
      <c r="D984" s="506"/>
      <c r="E984" s="506" t="s">
        <v>520</v>
      </c>
      <c r="F984" s="506"/>
      <c r="G984" s="506"/>
      <c r="H984" s="506" t="s">
        <v>537</v>
      </c>
      <c r="I984" s="506" t="s">
        <v>519</v>
      </c>
      <c r="J984" s="525">
        <v>9348</v>
      </c>
    </row>
    <row r="985" spans="1:10" s="514" customFormat="1" ht="14.25" x14ac:dyDescent="0.2">
      <c r="A985" s="522"/>
      <c r="B985" s="522"/>
      <c r="C985" s="522">
        <v>132</v>
      </c>
      <c r="D985" s="522"/>
      <c r="E985" s="522"/>
      <c r="F985" s="522"/>
      <c r="G985" s="522">
        <v>380</v>
      </c>
      <c r="H985" s="522"/>
      <c r="I985" s="522"/>
      <c r="J985" s="531">
        <f>SUM(J983:J984)</f>
        <v>28297</v>
      </c>
    </row>
    <row r="986" spans="1:10" ht="14.25" x14ac:dyDescent="0.2">
      <c r="A986" s="506"/>
      <c r="B986" s="520"/>
      <c r="C986" s="506">
        <v>132</v>
      </c>
      <c r="D986" s="506"/>
      <c r="E986" s="506" t="s">
        <v>520</v>
      </c>
      <c r="F986" s="506"/>
      <c r="G986" s="506">
        <v>370</v>
      </c>
      <c r="H986" s="506" t="s">
        <v>538</v>
      </c>
      <c r="I986" s="506" t="s">
        <v>519</v>
      </c>
      <c r="J986" s="525">
        <v>9850</v>
      </c>
    </row>
    <row r="987" spans="1:10" ht="14.25" x14ac:dyDescent="0.2">
      <c r="A987" s="506"/>
      <c r="B987" s="520"/>
      <c r="C987" s="506"/>
      <c r="D987" s="506"/>
      <c r="E987" s="506" t="s">
        <v>520</v>
      </c>
      <c r="F987" s="506"/>
      <c r="G987" s="506"/>
      <c r="H987" s="506" t="s">
        <v>537</v>
      </c>
      <c r="I987" s="506" t="s">
        <v>519</v>
      </c>
      <c r="J987" s="525">
        <v>4824</v>
      </c>
    </row>
    <row r="988" spans="1:10" s="514" customFormat="1" ht="14.25" x14ac:dyDescent="0.2">
      <c r="A988" s="522"/>
      <c r="B988" s="522"/>
      <c r="C988" s="522">
        <v>132</v>
      </c>
      <c r="D988" s="522"/>
      <c r="E988" s="522"/>
      <c r="F988" s="522"/>
      <c r="G988" s="522">
        <v>370</v>
      </c>
      <c r="H988" s="522"/>
      <c r="I988" s="522"/>
      <c r="J988" s="531">
        <f>SUM(J986:J987)</f>
        <v>14674</v>
      </c>
    </row>
    <row r="989" spans="1:10" ht="14.25" x14ac:dyDescent="0.2">
      <c r="A989" s="506"/>
      <c r="B989" s="520"/>
      <c r="C989" s="506">
        <v>132</v>
      </c>
      <c r="D989" s="506"/>
      <c r="E989" s="506" t="s">
        <v>520</v>
      </c>
      <c r="F989" s="506"/>
      <c r="G989" s="506">
        <v>360</v>
      </c>
      <c r="H989" s="506" t="s">
        <v>538</v>
      </c>
      <c r="I989" s="506" t="s">
        <v>519</v>
      </c>
      <c r="J989" s="525">
        <v>16756</v>
      </c>
    </row>
    <row r="990" spans="1:10" ht="14.25" x14ac:dyDescent="0.2">
      <c r="A990" s="506"/>
      <c r="B990" s="520"/>
      <c r="C990" s="506"/>
      <c r="D990" s="506"/>
      <c r="E990" s="506" t="s">
        <v>520</v>
      </c>
      <c r="F990" s="506"/>
      <c r="G990" s="506"/>
      <c r="H990" s="506" t="s">
        <v>537</v>
      </c>
      <c r="I990" s="506" t="s">
        <v>519</v>
      </c>
      <c r="J990" s="525">
        <v>4755</v>
      </c>
    </row>
    <row r="991" spans="1:10" s="514" customFormat="1" ht="14.25" x14ac:dyDescent="0.2">
      <c r="A991" s="522"/>
      <c r="B991" s="522"/>
      <c r="C991" s="522">
        <v>132</v>
      </c>
      <c r="D991" s="522"/>
      <c r="E991" s="522"/>
      <c r="F991" s="522"/>
      <c r="G991" s="522">
        <v>360</v>
      </c>
      <c r="H991" s="522"/>
      <c r="I991" s="522"/>
      <c r="J991" s="531">
        <f>SUM(J989:J990)</f>
        <v>21511</v>
      </c>
    </row>
    <row r="992" spans="1:10" ht="14.25" x14ac:dyDescent="0.2">
      <c r="A992" s="506"/>
      <c r="B992" s="520"/>
      <c r="C992" s="506">
        <v>132</v>
      </c>
      <c r="D992" s="506"/>
      <c r="E992" s="506" t="s">
        <v>520</v>
      </c>
      <c r="F992" s="506"/>
      <c r="G992" s="506">
        <v>340</v>
      </c>
      <c r="H992" s="506" t="s">
        <v>538</v>
      </c>
      <c r="I992" s="506" t="s">
        <v>519</v>
      </c>
      <c r="J992" s="525">
        <v>36935</v>
      </c>
    </row>
    <row r="993" spans="1:10" ht="14.25" x14ac:dyDescent="0.2">
      <c r="A993" s="506"/>
      <c r="B993" s="520"/>
      <c r="C993" s="506"/>
      <c r="D993" s="506"/>
      <c r="E993" s="506" t="s">
        <v>520</v>
      </c>
      <c r="F993" s="506"/>
      <c r="G993" s="506"/>
      <c r="H993" s="506" t="s">
        <v>537</v>
      </c>
      <c r="I993" s="506" t="s">
        <v>519</v>
      </c>
      <c r="J993" s="525">
        <v>19424</v>
      </c>
    </row>
    <row r="994" spans="1:10" s="514" customFormat="1" ht="14.25" x14ac:dyDescent="0.2">
      <c r="A994" s="522"/>
      <c r="B994" s="522"/>
      <c r="C994" s="522">
        <v>132</v>
      </c>
      <c r="D994" s="522"/>
      <c r="E994" s="522"/>
      <c r="F994" s="522"/>
      <c r="G994" s="522">
        <v>340</v>
      </c>
      <c r="H994" s="522"/>
      <c r="I994" s="522"/>
      <c r="J994" s="531">
        <f>SUM(J992:J993)</f>
        <v>56359</v>
      </c>
    </row>
    <row r="995" spans="1:10" ht="14.25" x14ac:dyDescent="0.2">
      <c r="A995" s="506"/>
      <c r="B995" s="520"/>
      <c r="C995" s="506">
        <v>132</v>
      </c>
      <c r="D995" s="506"/>
      <c r="E995" s="506" t="s">
        <v>516</v>
      </c>
      <c r="F995" s="506"/>
      <c r="G995" s="506">
        <v>330</v>
      </c>
      <c r="H995" s="506" t="s">
        <v>536</v>
      </c>
      <c r="I995" s="506" t="s">
        <v>519</v>
      </c>
      <c r="J995" s="525">
        <v>-10540</v>
      </c>
    </row>
    <row r="996" spans="1:10" s="514" customFormat="1" ht="14.25" x14ac:dyDescent="0.2">
      <c r="A996" s="522"/>
      <c r="B996" s="522"/>
      <c r="C996" s="522">
        <v>132</v>
      </c>
      <c r="D996" s="522"/>
      <c r="E996" s="522"/>
      <c r="F996" s="522"/>
      <c r="G996" s="522">
        <v>330</v>
      </c>
      <c r="H996" s="522"/>
      <c r="I996" s="522"/>
      <c r="J996" s="531">
        <f>SUM(J995)</f>
        <v>-10540</v>
      </c>
    </row>
    <row r="997" spans="1:10" ht="14.25" x14ac:dyDescent="0.2">
      <c r="A997" s="506"/>
      <c r="B997" s="520"/>
      <c r="C997" s="506">
        <v>132</v>
      </c>
      <c r="D997" s="506"/>
      <c r="E997" s="506" t="s">
        <v>520</v>
      </c>
      <c r="F997" s="506"/>
      <c r="G997" s="506">
        <v>320</v>
      </c>
      <c r="H997" s="506" t="s">
        <v>538</v>
      </c>
      <c r="I997" s="506" t="s">
        <v>519</v>
      </c>
      <c r="J997" s="525">
        <v>6574</v>
      </c>
    </row>
    <row r="998" spans="1:10" ht="14.25" x14ac:dyDescent="0.2">
      <c r="A998" s="506"/>
      <c r="B998" s="520"/>
      <c r="C998" s="506"/>
      <c r="D998" s="506"/>
      <c r="E998" s="506" t="s">
        <v>520</v>
      </c>
      <c r="F998" s="506"/>
      <c r="G998" s="506"/>
      <c r="H998" s="506" t="s">
        <v>537</v>
      </c>
      <c r="I998" s="506" t="s">
        <v>519</v>
      </c>
      <c r="J998" s="525">
        <v>558</v>
      </c>
    </row>
    <row r="999" spans="1:10" s="514" customFormat="1" ht="14.25" x14ac:dyDescent="0.2">
      <c r="A999" s="522"/>
      <c r="B999" s="522"/>
      <c r="C999" s="522">
        <v>132</v>
      </c>
      <c r="D999" s="522"/>
      <c r="E999" s="522"/>
      <c r="F999" s="522"/>
      <c r="G999" s="522">
        <v>320</v>
      </c>
      <c r="H999" s="522"/>
      <c r="I999" s="522"/>
      <c r="J999" s="531">
        <f>SUM(J997:J998)</f>
        <v>7132</v>
      </c>
    </row>
    <row r="1000" spans="1:10" ht="14.25" x14ac:dyDescent="0.2">
      <c r="A1000" s="506"/>
      <c r="B1000" s="520"/>
      <c r="C1000" s="506">
        <v>132</v>
      </c>
      <c r="D1000" s="506"/>
      <c r="E1000" s="506" t="s">
        <v>516</v>
      </c>
      <c r="F1000" s="506"/>
      <c r="G1000" s="506">
        <v>310</v>
      </c>
      <c r="H1000" s="506" t="s">
        <v>536</v>
      </c>
      <c r="I1000" s="506" t="s">
        <v>519</v>
      </c>
      <c r="J1000" s="525">
        <v>-241</v>
      </c>
    </row>
    <row r="1001" spans="1:10" ht="14.25" x14ac:dyDescent="0.2">
      <c r="A1001" s="506"/>
      <c r="B1001" s="520"/>
      <c r="C1001" s="506"/>
      <c r="D1001" s="506"/>
      <c r="E1001" s="506" t="s">
        <v>520</v>
      </c>
      <c r="F1001" s="506"/>
      <c r="G1001" s="506"/>
      <c r="H1001" s="506" t="s">
        <v>537</v>
      </c>
      <c r="I1001" s="506" t="s">
        <v>519</v>
      </c>
      <c r="J1001" s="525">
        <v>345</v>
      </c>
    </row>
    <row r="1002" spans="1:10" s="514" customFormat="1" ht="14.25" x14ac:dyDescent="0.2">
      <c r="A1002" s="522"/>
      <c r="B1002" s="522"/>
      <c r="C1002" s="522">
        <v>132</v>
      </c>
      <c r="D1002" s="522"/>
      <c r="E1002" s="522"/>
      <c r="F1002" s="522"/>
      <c r="G1002" s="522">
        <v>310</v>
      </c>
      <c r="H1002" s="522"/>
      <c r="I1002" s="522"/>
      <c r="J1002" s="531">
        <f>SUM(J1000:J1001)</f>
        <v>104</v>
      </c>
    </row>
    <row r="1003" spans="1:10" ht="14.25" x14ac:dyDescent="0.2">
      <c r="A1003" s="506"/>
      <c r="B1003" s="520"/>
      <c r="C1003" s="506">
        <v>132</v>
      </c>
      <c r="D1003" s="506"/>
      <c r="E1003" s="506" t="s">
        <v>516</v>
      </c>
      <c r="F1003" s="506"/>
      <c r="G1003" s="506">
        <v>31</v>
      </c>
      <c r="H1003" s="506" t="s">
        <v>536</v>
      </c>
      <c r="I1003" s="506" t="s">
        <v>519</v>
      </c>
      <c r="J1003" s="525">
        <v>-513694</v>
      </c>
    </row>
    <row r="1004" spans="1:10" ht="14.25" x14ac:dyDescent="0.2">
      <c r="A1004" s="506"/>
      <c r="B1004" s="520"/>
      <c r="C1004" s="506"/>
      <c r="D1004" s="506"/>
      <c r="E1004" s="506" t="s">
        <v>520</v>
      </c>
      <c r="F1004" s="506"/>
      <c r="G1004" s="506"/>
      <c r="H1004" s="506" t="s">
        <v>767</v>
      </c>
      <c r="I1004" s="506" t="s">
        <v>519</v>
      </c>
      <c r="J1004" s="525">
        <v>35114</v>
      </c>
    </row>
    <row r="1005" spans="1:10" ht="14.25" x14ac:dyDescent="0.2">
      <c r="A1005" s="506"/>
      <c r="B1005" s="520"/>
      <c r="C1005" s="506"/>
      <c r="D1005" s="506"/>
      <c r="E1005" s="506" t="s">
        <v>516</v>
      </c>
      <c r="F1005" s="506"/>
      <c r="G1005" s="506"/>
      <c r="H1005" s="506" t="s">
        <v>768</v>
      </c>
      <c r="I1005" s="506" t="s">
        <v>519</v>
      </c>
      <c r="J1005" s="525">
        <v>-230</v>
      </c>
    </row>
    <row r="1006" spans="1:10" ht="14.25" x14ac:dyDescent="0.2">
      <c r="A1006" s="506"/>
      <c r="B1006" s="520"/>
      <c r="C1006" s="506"/>
      <c r="D1006" s="506"/>
      <c r="E1006" s="506" t="s">
        <v>516</v>
      </c>
      <c r="F1006" s="506"/>
      <c r="G1006" s="506"/>
      <c r="H1006" s="506" t="s">
        <v>538</v>
      </c>
      <c r="I1006" s="506" t="s">
        <v>519</v>
      </c>
      <c r="J1006" s="525">
        <v>-170515</v>
      </c>
    </row>
    <row r="1007" spans="1:10" ht="14.25" x14ac:dyDescent="0.2">
      <c r="A1007" s="506"/>
      <c r="B1007" s="520"/>
      <c r="C1007" s="506"/>
      <c r="D1007" s="506"/>
      <c r="E1007" s="506" t="s">
        <v>516</v>
      </c>
      <c r="F1007" s="506"/>
      <c r="G1007" s="506"/>
      <c r="H1007" s="506" t="s">
        <v>537</v>
      </c>
      <c r="I1007" s="506" t="s">
        <v>519</v>
      </c>
      <c r="J1007" s="525">
        <v>-72929</v>
      </c>
    </row>
    <row r="1008" spans="1:10" ht="14.25" x14ac:dyDescent="0.2">
      <c r="A1008" s="506"/>
      <c r="B1008" s="520"/>
      <c r="C1008" s="506"/>
      <c r="D1008" s="506"/>
      <c r="E1008" s="506" t="s">
        <v>516</v>
      </c>
      <c r="F1008" s="506"/>
      <c r="G1008" s="506"/>
      <c r="H1008" s="506" t="s">
        <v>546</v>
      </c>
      <c r="I1008" s="506" t="s">
        <v>519</v>
      </c>
      <c r="J1008" s="525">
        <v>-104193</v>
      </c>
    </row>
    <row r="1009" spans="1:10" s="514" customFormat="1" ht="14.25" x14ac:dyDescent="0.2">
      <c r="A1009" s="522"/>
      <c r="B1009" s="522"/>
      <c r="C1009" s="522">
        <v>132</v>
      </c>
      <c r="D1009" s="522"/>
      <c r="E1009" s="522"/>
      <c r="F1009" s="522"/>
      <c r="G1009" s="522">
        <v>31</v>
      </c>
      <c r="H1009" s="522"/>
      <c r="I1009" s="522"/>
      <c r="J1009" s="531">
        <f>SUM(J1003:J1008)</f>
        <v>-826447</v>
      </c>
    </row>
    <row r="1010" spans="1:10" ht="14.25" x14ac:dyDescent="0.2">
      <c r="A1010" s="506"/>
      <c r="B1010" s="520"/>
      <c r="C1010" s="506">
        <v>132</v>
      </c>
      <c r="D1010" s="506"/>
      <c r="E1010" s="506" t="s">
        <v>520</v>
      </c>
      <c r="F1010" s="506"/>
      <c r="G1010" s="506">
        <v>300</v>
      </c>
      <c r="H1010" s="506" t="s">
        <v>538</v>
      </c>
      <c r="I1010" s="506" t="s">
        <v>519</v>
      </c>
      <c r="J1010" s="525">
        <v>33923</v>
      </c>
    </row>
    <row r="1011" spans="1:10" ht="14.25" x14ac:dyDescent="0.2">
      <c r="A1011" s="506"/>
      <c r="B1011" s="520"/>
      <c r="C1011" s="506"/>
      <c r="D1011" s="506"/>
      <c r="E1011" s="506" t="s">
        <v>520</v>
      </c>
      <c r="F1011" s="506"/>
      <c r="G1011" s="506"/>
      <c r="H1011" s="506" t="s">
        <v>537</v>
      </c>
      <c r="I1011" s="506" t="s">
        <v>519</v>
      </c>
      <c r="J1011" s="525">
        <v>7710</v>
      </c>
    </row>
    <row r="1012" spans="1:10" s="514" customFormat="1" ht="14.25" x14ac:dyDescent="0.2">
      <c r="A1012" s="522"/>
      <c r="B1012" s="522"/>
      <c r="C1012" s="522">
        <v>132</v>
      </c>
      <c r="D1012" s="522"/>
      <c r="E1012" s="522"/>
      <c r="F1012" s="522"/>
      <c r="G1012" s="522">
        <v>300</v>
      </c>
      <c r="H1012" s="522"/>
      <c r="I1012" s="522"/>
      <c r="J1012" s="531">
        <f>SUM(J1010:J1011)</f>
        <v>41633</v>
      </c>
    </row>
    <row r="1013" spans="1:10" ht="14.25" x14ac:dyDescent="0.2">
      <c r="A1013" s="506"/>
      <c r="B1013" s="520"/>
      <c r="C1013" s="506">
        <v>132</v>
      </c>
      <c r="D1013" s="506"/>
      <c r="E1013" s="506" t="s">
        <v>520</v>
      </c>
      <c r="F1013" s="506"/>
      <c r="G1013" s="506">
        <v>290</v>
      </c>
      <c r="H1013" s="506" t="s">
        <v>538</v>
      </c>
      <c r="I1013" s="506" t="s">
        <v>519</v>
      </c>
      <c r="J1013" s="525">
        <v>19357</v>
      </c>
    </row>
    <row r="1014" spans="1:10" ht="14.25" x14ac:dyDescent="0.2">
      <c r="A1014" s="506"/>
      <c r="B1014" s="520"/>
      <c r="C1014" s="506"/>
      <c r="D1014" s="506"/>
      <c r="E1014" s="506" t="s">
        <v>520</v>
      </c>
      <c r="F1014" s="506"/>
      <c r="G1014" s="506"/>
      <c r="H1014" s="506" t="s">
        <v>537</v>
      </c>
      <c r="I1014" s="506" t="s">
        <v>519</v>
      </c>
      <c r="J1014" s="525">
        <v>5145</v>
      </c>
    </row>
    <row r="1015" spans="1:10" s="514" customFormat="1" ht="14.25" x14ac:dyDescent="0.2">
      <c r="A1015" s="522"/>
      <c r="B1015" s="522"/>
      <c r="C1015" s="522">
        <v>132</v>
      </c>
      <c r="D1015" s="522"/>
      <c r="E1015" s="522"/>
      <c r="F1015" s="522"/>
      <c r="G1015" s="522">
        <v>290</v>
      </c>
      <c r="H1015" s="522"/>
      <c r="I1015" s="522"/>
      <c r="J1015" s="531">
        <f>SUM(J1013:J1014)</f>
        <v>24502</v>
      </c>
    </row>
    <row r="1016" spans="1:10" ht="14.25" x14ac:dyDescent="0.2">
      <c r="A1016" s="506"/>
      <c r="B1016" s="520"/>
      <c r="C1016" s="506">
        <v>132</v>
      </c>
      <c r="D1016" s="506"/>
      <c r="E1016" s="506" t="s">
        <v>520</v>
      </c>
      <c r="F1016" s="506"/>
      <c r="G1016" s="506">
        <v>280</v>
      </c>
      <c r="H1016" s="506" t="s">
        <v>538</v>
      </c>
      <c r="I1016" s="506" t="s">
        <v>519</v>
      </c>
      <c r="J1016" s="525">
        <v>2928</v>
      </c>
    </row>
    <row r="1017" spans="1:10" s="514" customFormat="1" ht="14.25" x14ac:dyDescent="0.2">
      <c r="A1017" s="522"/>
      <c r="B1017" s="522"/>
      <c r="C1017" s="522">
        <v>132</v>
      </c>
      <c r="D1017" s="522"/>
      <c r="E1017" s="522"/>
      <c r="F1017" s="522"/>
      <c r="G1017" s="522">
        <v>280</v>
      </c>
      <c r="H1017" s="522"/>
      <c r="I1017" s="522"/>
      <c r="J1017" s="531">
        <f>SUM(J1016)</f>
        <v>2928</v>
      </c>
    </row>
    <row r="1018" spans="1:10" ht="14.25" x14ac:dyDescent="0.2">
      <c r="A1018" s="506"/>
      <c r="B1018" s="520"/>
      <c r="C1018" s="506">
        <v>132</v>
      </c>
      <c r="D1018" s="506"/>
      <c r="E1018" s="506" t="s">
        <v>520</v>
      </c>
      <c r="F1018" s="506"/>
      <c r="G1018" s="506">
        <v>270</v>
      </c>
      <c r="H1018" s="506" t="s">
        <v>538</v>
      </c>
      <c r="I1018" s="506" t="s">
        <v>519</v>
      </c>
      <c r="J1018" s="525">
        <v>45141</v>
      </c>
    </row>
    <row r="1019" spans="1:10" ht="14.25" x14ac:dyDescent="0.2">
      <c r="A1019" s="506"/>
      <c r="B1019" s="520"/>
      <c r="C1019" s="506"/>
      <c r="D1019" s="506"/>
      <c r="E1019" s="506" t="s">
        <v>520</v>
      </c>
      <c r="F1019" s="506"/>
      <c r="G1019" s="506"/>
      <c r="H1019" s="506" t="s">
        <v>537</v>
      </c>
      <c r="I1019" s="506" t="s">
        <v>519</v>
      </c>
      <c r="J1019" s="525">
        <v>8214</v>
      </c>
    </row>
    <row r="1020" spans="1:10" s="514" customFormat="1" ht="14.25" x14ac:dyDescent="0.2">
      <c r="A1020" s="522"/>
      <c r="B1020" s="522"/>
      <c r="C1020" s="522">
        <v>132</v>
      </c>
      <c r="D1020" s="522"/>
      <c r="E1020" s="522"/>
      <c r="F1020" s="522"/>
      <c r="G1020" s="522">
        <v>270</v>
      </c>
      <c r="H1020" s="522"/>
      <c r="I1020" s="522"/>
      <c r="J1020" s="531">
        <f>SUM(J1018:J1019)</f>
        <v>53355</v>
      </c>
    </row>
    <row r="1021" spans="1:10" ht="14.25" x14ac:dyDescent="0.2">
      <c r="A1021" s="506"/>
      <c r="B1021" s="520"/>
      <c r="C1021" s="506">
        <v>132</v>
      </c>
      <c r="D1021" s="506"/>
      <c r="E1021" s="506" t="s">
        <v>520</v>
      </c>
      <c r="F1021" s="506"/>
      <c r="G1021" s="506">
        <v>260</v>
      </c>
      <c r="H1021" s="506" t="s">
        <v>538</v>
      </c>
      <c r="I1021" s="506" t="s">
        <v>519</v>
      </c>
      <c r="J1021" s="525">
        <v>12754</v>
      </c>
    </row>
    <row r="1022" spans="1:10" ht="14.25" x14ac:dyDescent="0.2">
      <c r="A1022" s="506"/>
      <c r="B1022" s="520"/>
      <c r="C1022" s="506"/>
      <c r="D1022" s="506"/>
      <c r="E1022" s="506" t="s">
        <v>520</v>
      </c>
      <c r="F1022" s="506"/>
      <c r="G1022" s="506"/>
      <c r="H1022" s="506" t="s">
        <v>537</v>
      </c>
      <c r="I1022" s="506" t="s">
        <v>519</v>
      </c>
      <c r="J1022" s="525">
        <v>5789</v>
      </c>
    </row>
    <row r="1023" spans="1:10" s="514" customFormat="1" ht="14.25" x14ac:dyDescent="0.2">
      <c r="A1023" s="522"/>
      <c r="B1023" s="522"/>
      <c r="C1023" s="522">
        <v>132</v>
      </c>
      <c r="D1023" s="522"/>
      <c r="E1023" s="522"/>
      <c r="F1023" s="522"/>
      <c r="G1023" s="522">
        <v>260</v>
      </c>
      <c r="H1023" s="522"/>
      <c r="I1023" s="522"/>
      <c r="J1023" s="531">
        <f>SUM(J1021:J1022)</f>
        <v>18543</v>
      </c>
    </row>
    <row r="1024" spans="1:10" ht="14.25" x14ac:dyDescent="0.2">
      <c r="A1024" s="506"/>
      <c r="B1024" s="520"/>
      <c r="C1024" s="506">
        <v>132</v>
      </c>
      <c r="D1024" s="506"/>
      <c r="E1024" s="506" t="s">
        <v>520</v>
      </c>
      <c r="F1024" s="506"/>
      <c r="G1024" s="506">
        <v>250</v>
      </c>
      <c r="H1024" s="506" t="s">
        <v>538</v>
      </c>
      <c r="I1024" s="506" t="s">
        <v>519</v>
      </c>
      <c r="J1024" s="525">
        <v>15256</v>
      </c>
    </row>
    <row r="1025" spans="1:10" ht="14.25" x14ac:dyDescent="0.2">
      <c r="A1025" s="506"/>
      <c r="B1025" s="520"/>
      <c r="C1025" s="506"/>
      <c r="D1025" s="506"/>
      <c r="E1025" s="506" t="s">
        <v>520</v>
      </c>
      <c r="F1025" s="506"/>
      <c r="G1025" s="506"/>
      <c r="H1025" s="506" t="s">
        <v>537</v>
      </c>
      <c r="I1025" s="506" t="s">
        <v>519</v>
      </c>
      <c r="J1025" s="525">
        <v>7229</v>
      </c>
    </row>
    <row r="1026" spans="1:10" s="514" customFormat="1" ht="14.25" x14ac:dyDescent="0.2">
      <c r="A1026" s="522"/>
      <c r="B1026" s="522"/>
      <c r="C1026" s="522">
        <v>132</v>
      </c>
      <c r="D1026" s="522"/>
      <c r="E1026" s="522"/>
      <c r="F1026" s="522"/>
      <c r="G1026" s="522">
        <v>250</v>
      </c>
      <c r="H1026" s="522"/>
      <c r="I1026" s="522"/>
      <c r="J1026" s="531">
        <f>SUM(J1024:J1025)</f>
        <v>22485</v>
      </c>
    </row>
    <row r="1027" spans="1:10" ht="14.25" x14ac:dyDescent="0.2">
      <c r="A1027" s="506"/>
      <c r="B1027" s="520"/>
      <c r="C1027" s="506">
        <v>132</v>
      </c>
      <c r="D1027" s="506"/>
      <c r="E1027" s="506" t="s">
        <v>520</v>
      </c>
      <c r="F1027" s="506"/>
      <c r="G1027" s="506">
        <v>240</v>
      </c>
      <c r="H1027" s="506" t="s">
        <v>538</v>
      </c>
      <c r="I1027" s="506" t="s">
        <v>519</v>
      </c>
      <c r="J1027" s="525">
        <v>14001</v>
      </c>
    </row>
    <row r="1028" spans="1:10" ht="14.25" x14ac:dyDescent="0.2">
      <c r="A1028" s="506"/>
      <c r="B1028" s="520"/>
      <c r="C1028" s="506"/>
      <c r="D1028" s="506"/>
      <c r="E1028" s="506" t="s">
        <v>520</v>
      </c>
      <c r="F1028" s="506"/>
      <c r="G1028" s="506"/>
      <c r="H1028" s="506" t="s">
        <v>537</v>
      </c>
      <c r="I1028" s="506" t="s">
        <v>519</v>
      </c>
      <c r="J1028" s="525">
        <v>4675</v>
      </c>
    </row>
    <row r="1029" spans="1:10" s="514" customFormat="1" ht="14.25" x14ac:dyDescent="0.2">
      <c r="A1029" s="522"/>
      <c r="B1029" s="522"/>
      <c r="C1029" s="522">
        <v>132</v>
      </c>
      <c r="D1029" s="522"/>
      <c r="E1029" s="522"/>
      <c r="F1029" s="522"/>
      <c r="G1029" s="522">
        <v>240</v>
      </c>
      <c r="H1029" s="522"/>
      <c r="I1029" s="522"/>
      <c r="J1029" s="531">
        <f>SUM(J1027:J1028)</f>
        <v>18676</v>
      </c>
    </row>
    <row r="1030" spans="1:10" ht="14.25" x14ac:dyDescent="0.2">
      <c r="A1030" s="506"/>
      <c r="B1030" s="520"/>
      <c r="C1030" s="506">
        <v>132</v>
      </c>
      <c r="D1030" s="506"/>
      <c r="E1030" s="506" t="s">
        <v>520</v>
      </c>
      <c r="F1030" s="506"/>
      <c r="G1030" s="506">
        <v>230</v>
      </c>
      <c r="H1030" s="506" t="s">
        <v>538</v>
      </c>
      <c r="I1030" s="506" t="s">
        <v>519</v>
      </c>
      <c r="J1030" s="525">
        <v>8704</v>
      </c>
    </row>
    <row r="1031" spans="1:10" ht="14.25" x14ac:dyDescent="0.2">
      <c r="A1031" s="506"/>
      <c r="B1031" s="520"/>
      <c r="C1031" s="506"/>
      <c r="D1031" s="506"/>
      <c r="E1031" s="506" t="s">
        <v>520</v>
      </c>
      <c r="F1031" s="506"/>
      <c r="G1031" s="506"/>
      <c r="H1031" s="506" t="s">
        <v>537</v>
      </c>
      <c r="I1031" s="506" t="s">
        <v>519</v>
      </c>
      <c r="J1031" s="525">
        <v>5034</v>
      </c>
    </row>
    <row r="1032" spans="1:10" s="514" customFormat="1" ht="14.25" x14ac:dyDescent="0.2">
      <c r="A1032" s="522"/>
      <c r="B1032" s="522"/>
      <c r="C1032" s="522">
        <v>132</v>
      </c>
      <c r="D1032" s="522"/>
      <c r="E1032" s="522"/>
      <c r="F1032" s="522"/>
      <c r="G1032" s="522">
        <v>230</v>
      </c>
      <c r="H1032" s="522"/>
      <c r="I1032" s="522"/>
      <c r="J1032" s="531">
        <f>SUM(J1030:J1031)</f>
        <v>13738</v>
      </c>
    </row>
    <row r="1033" spans="1:10" ht="14.25" x14ac:dyDescent="0.2">
      <c r="A1033" s="506"/>
      <c r="B1033" s="520"/>
      <c r="C1033" s="506">
        <v>132</v>
      </c>
      <c r="D1033" s="506"/>
      <c r="E1033" s="506" t="s">
        <v>516</v>
      </c>
      <c r="F1033" s="506"/>
      <c r="G1033" s="506">
        <v>220</v>
      </c>
      <c r="H1033" s="506" t="s">
        <v>536</v>
      </c>
      <c r="I1033" s="506" t="s">
        <v>519</v>
      </c>
      <c r="J1033" s="525">
        <v>-32725</v>
      </c>
    </row>
    <row r="1034" spans="1:10" s="514" customFormat="1" ht="14.25" x14ac:dyDescent="0.2">
      <c r="A1034" s="522"/>
      <c r="B1034" s="522"/>
      <c r="C1034" s="522">
        <v>132</v>
      </c>
      <c r="D1034" s="522"/>
      <c r="E1034" s="522"/>
      <c r="F1034" s="522"/>
      <c r="G1034" s="522">
        <v>220</v>
      </c>
      <c r="H1034" s="522"/>
      <c r="I1034" s="522"/>
      <c r="J1034" s="531">
        <f>SUM(J1033)</f>
        <v>-32725</v>
      </c>
    </row>
    <row r="1035" spans="1:10" ht="14.25" x14ac:dyDescent="0.2">
      <c r="A1035" s="506"/>
      <c r="B1035" s="520"/>
      <c r="C1035" s="506">
        <v>132</v>
      </c>
      <c r="D1035" s="506"/>
      <c r="E1035" s="506" t="s">
        <v>520</v>
      </c>
      <c r="F1035" s="506"/>
      <c r="G1035" s="506">
        <v>210</v>
      </c>
      <c r="H1035" s="506" t="s">
        <v>538</v>
      </c>
      <c r="I1035" s="506" t="s">
        <v>519</v>
      </c>
      <c r="J1035" s="525">
        <v>28657</v>
      </c>
    </row>
    <row r="1036" spans="1:10" ht="14.25" x14ac:dyDescent="0.2">
      <c r="A1036" s="506"/>
      <c r="B1036" s="520"/>
      <c r="C1036" s="506"/>
      <c r="D1036" s="506"/>
      <c r="E1036" s="506" t="s">
        <v>520</v>
      </c>
      <c r="F1036" s="506"/>
      <c r="G1036" s="506"/>
      <c r="H1036" s="506" t="s">
        <v>537</v>
      </c>
      <c r="I1036" s="506" t="s">
        <v>519</v>
      </c>
      <c r="J1036" s="525">
        <v>7121</v>
      </c>
    </row>
    <row r="1037" spans="1:10" s="514" customFormat="1" ht="14.25" x14ac:dyDescent="0.2">
      <c r="A1037" s="522"/>
      <c r="B1037" s="522"/>
      <c r="C1037" s="522">
        <v>132</v>
      </c>
      <c r="D1037" s="522"/>
      <c r="E1037" s="522"/>
      <c r="F1037" s="522"/>
      <c r="G1037" s="522">
        <v>210</v>
      </c>
      <c r="H1037" s="522"/>
      <c r="I1037" s="522"/>
      <c r="J1037" s="531">
        <f>SUM(J1035:J1036)</f>
        <v>35778</v>
      </c>
    </row>
    <row r="1038" spans="1:10" ht="14.25" x14ac:dyDescent="0.2">
      <c r="A1038" s="506"/>
      <c r="B1038" s="520"/>
      <c r="C1038" s="506">
        <v>132</v>
      </c>
      <c r="D1038" s="506"/>
      <c r="E1038" s="506" t="s">
        <v>520</v>
      </c>
      <c r="F1038" s="506"/>
      <c r="G1038" s="506">
        <v>200</v>
      </c>
      <c r="H1038" s="506" t="s">
        <v>538</v>
      </c>
      <c r="I1038" s="506" t="s">
        <v>519</v>
      </c>
      <c r="J1038" s="525">
        <v>11595</v>
      </c>
    </row>
    <row r="1039" spans="1:10" ht="14.25" x14ac:dyDescent="0.2">
      <c r="A1039" s="506"/>
      <c r="B1039" s="520"/>
      <c r="C1039" s="506"/>
      <c r="D1039" s="506"/>
      <c r="E1039" s="506" t="s">
        <v>520</v>
      </c>
      <c r="F1039" s="506"/>
      <c r="G1039" s="506"/>
      <c r="H1039" s="506" t="s">
        <v>537</v>
      </c>
      <c r="I1039" s="506" t="s">
        <v>519</v>
      </c>
      <c r="J1039" s="525">
        <v>1955</v>
      </c>
    </row>
    <row r="1040" spans="1:10" s="514" customFormat="1" ht="14.25" x14ac:dyDescent="0.2">
      <c r="A1040" s="522"/>
      <c r="B1040" s="522"/>
      <c r="C1040" s="522">
        <v>132</v>
      </c>
      <c r="D1040" s="522"/>
      <c r="E1040" s="522"/>
      <c r="F1040" s="522"/>
      <c r="G1040" s="522">
        <v>200</v>
      </c>
      <c r="H1040" s="522"/>
      <c r="I1040" s="522"/>
      <c r="J1040" s="531">
        <f>SUM(J1038:J1039)</f>
        <v>13550</v>
      </c>
    </row>
    <row r="1041" spans="1:10" ht="14.25" x14ac:dyDescent="0.2">
      <c r="A1041" s="506"/>
      <c r="B1041" s="520"/>
      <c r="C1041" s="506">
        <v>132</v>
      </c>
      <c r="D1041" s="506"/>
      <c r="E1041" s="506" t="s">
        <v>520</v>
      </c>
      <c r="F1041" s="506"/>
      <c r="G1041" s="506">
        <v>190</v>
      </c>
      <c r="H1041" s="506" t="s">
        <v>538</v>
      </c>
      <c r="I1041" s="506" t="s">
        <v>519</v>
      </c>
      <c r="J1041" s="525">
        <v>28069</v>
      </c>
    </row>
    <row r="1042" spans="1:10" ht="14.25" x14ac:dyDescent="0.2">
      <c r="A1042" s="506"/>
      <c r="B1042" s="520"/>
      <c r="C1042" s="506"/>
      <c r="D1042" s="506"/>
      <c r="E1042" s="506" t="s">
        <v>520</v>
      </c>
      <c r="F1042" s="506"/>
      <c r="G1042" s="506"/>
      <c r="H1042" s="506" t="s">
        <v>537</v>
      </c>
      <c r="I1042" s="506" t="s">
        <v>519</v>
      </c>
      <c r="J1042" s="525">
        <v>7182</v>
      </c>
    </row>
    <row r="1043" spans="1:10" s="514" customFormat="1" ht="14.25" x14ac:dyDescent="0.2">
      <c r="A1043" s="522"/>
      <c r="B1043" s="522"/>
      <c r="C1043" s="522">
        <v>132</v>
      </c>
      <c r="D1043" s="522"/>
      <c r="E1043" s="522"/>
      <c r="F1043" s="522"/>
      <c r="G1043" s="522">
        <v>190</v>
      </c>
      <c r="H1043" s="522"/>
      <c r="I1043" s="522"/>
      <c r="J1043" s="531">
        <f>SUM(J1041:J1042)</f>
        <v>35251</v>
      </c>
    </row>
    <row r="1044" spans="1:10" ht="14.25" x14ac:dyDescent="0.2">
      <c r="A1044" s="506"/>
      <c r="B1044" s="520"/>
      <c r="C1044" s="506">
        <v>132</v>
      </c>
      <c r="D1044" s="506"/>
      <c r="E1044" s="506" t="s">
        <v>520</v>
      </c>
      <c r="F1044" s="506"/>
      <c r="G1044" s="506">
        <v>180</v>
      </c>
      <c r="H1044" s="506" t="s">
        <v>538</v>
      </c>
      <c r="I1044" s="506" t="s">
        <v>519</v>
      </c>
      <c r="J1044" s="525">
        <v>28710</v>
      </c>
    </row>
    <row r="1045" spans="1:10" ht="14.25" x14ac:dyDescent="0.2">
      <c r="A1045" s="506"/>
      <c r="B1045" s="520"/>
      <c r="C1045" s="506"/>
      <c r="D1045" s="506"/>
      <c r="E1045" s="506" t="s">
        <v>520</v>
      </c>
      <c r="F1045" s="506"/>
      <c r="G1045" s="506"/>
      <c r="H1045" s="506" t="s">
        <v>537</v>
      </c>
      <c r="I1045" s="506" t="s">
        <v>519</v>
      </c>
      <c r="J1045" s="525">
        <v>5055</v>
      </c>
    </row>
    <row r="1046" spans="1:10" s="514" customFormat="1" ht="14.25" x14ac:dyDescent="0.2">
      <c r="A1046" s="522"/>
      <c r="B1046" s="522"/>
      <c r="C1046" s="522">
        <v>132</v>
      </c>
      <c r="D1046" s="522"/>
      <c r="E1046" s="522"/>
      <c r="F1046" s="522"/>
      <c r="G1046" s="522">
        <v>180</v>
      </c>
      <c r="H1046" s="522"/>
      <c r="I1046" s="522"/>
      <c r="J1046" s="531">
        <f>SUM(J1044:J1045)</f>
        <v>33765</v>
      </c>
    </row>
    <row r="1047" spans="1:10" ht="14.25" x14ac:dyDescent="0.2">
      <c r="A1047" s="506"/>
      <c r="B1047" s="520"/>
      <c r="C1047" s="506">
        <v>132</v>
      </c>
      <c r="D1047" s="506"/>
      <c r="E1047" s="506" t="s">
        <v>520</v>
      </c>
      <c r="F1047" s="506"/>
      <c r="G1047" s="506">
        <v>170</v>
      </c>
      <c r="H1047" s="506" t="s">
        <v>538</v>
      </c>
      <c r="I1047" s="506" t="s">
        <v>519</v>
      </c>
      <c r="J1047" s="525">
        <v>35889</v>
      </c>
    </row>
    <row r="1048" spans="1:10" ht="14.25" x14ac:dyDescent="0.2">
      <c r="A1048" s="506"/>
      <c r="B1048" s="520"/>
      <c r="C1048" s="506"/>
      <c r="D1048" s="506"/>
      <c r="E1048" s="506" t="s">
        <v>520</v>
      </c>
      <c r="F1048" s="506"/>
      <c r="G1048" s="506"/>
      <c r="H1048" s="506" t="s">
        <v>537</v>
      </c>
      <c r="I1048" s="506" t="s">
        <v>519</v>
      </c>
      <c r="J1048" s="525">
        <v>10963</v>
      </c>
    </row>
    <row r="1049" spans="1:10" s="514" customFormat="1" ht="14.25" x14ac:dyDescent="0.2">
      <c r="A1049" s="522"/>
      <c r="B1049" s="522"/>
      <c r="C1049" s="522">
        <v>132</v>
      </c>
      <c r="D1049" s="522"/>
      <c r="E1049" s="522"/>
      <c r="F1049" s="522"/>
      <c r="G1049" s="522">
        <v>170</v>
      </c>
      <c r="H1049" s="522"/>
      <c r="I1049" s="522"/>
      <c r="J1049" s="531">
        <f>SUM(J1047:J1048)</f>
        <v>46852</v>
      </c>
    </row>
    <row r="1050" spans="1:10" ht="14.25" x14ac:dyDescent="0.2">
      <c r="A1050" s="506"/>
      <c r="B1050" s="520"/>
      <c r="C1050" s="506">
        <v>132</v>
      </c>
      <c r="D1050" s="506"/>
      <c r="E1050" s="506" t="s">
        <v>520</v>
      </c>
      <c r="F1050" s="506"/>
      <c r="G1050" s="506">
        <v>160</v>
      </c>
      <c r="H1050" s="506" t="s">
        <v>538</v>
      </c>
      <c r="I1050" s="506" t="s">
        <v>519</v>
      </c>
      <c r="J1050" s="525">
        <v>5609</v>
      </c>
    </row>
    <row r="1051" spans="1:10" s="514" customFormat="1" ht="14.25" x14ac:dyDescent="0.2">
      <c r="A1051" s="522"/>
      <c r="B1051" s="522"/>
      <c r="C1051" s="522">
        <v>132</v>
      </c>
      <c r="D1051" s="522"/>
      <c r="E1051" s="522"/>
      <c r="F1051" s="522"/>
      <c r="G1051" s="522">
        <v>160</v>
      </c>
      <c r="H1051" s="522"/>
      <c r="I1051" s="522"/>
      <c r="J1051" s="531">
        <f>SUM(J1050)</f>
        <v>5609</v>
      </c>
    </row>
    <row r="1052" spans="1:10" ht="14.25" x14ac:dyDescent="0.2">
      <c r="A1052" s="506"/>
      <c r="B1052" s="520"/>
      <c r="C1052" s="506">
        <v>132</v>
      </c>
      <c r="D1052" s="506"/>
      <c r="E1052" s="506" t="s">
        <v>520</v>
      </c>
      <c r="F1052" s="506"/>
      <c r="G1052" s="506">
        <v>150</v>
      </c>
      <c r="H1052" s="506" t="s">
        <v>538</v>
      </c>
      <c r="I1052" s="506" t="s">
        <v>519</v>
      </c>
      <c r="J1052" s="525">
        <v>9030</v>
      </c>
    </row>
    <row r="1053" spans="1:10" ht="14.25" x14ac:dyDescent="0.2">
      <c r="A1053" s="506"/>
      <c r="B1053" s="520"/>
      <c r="C1053" s="506"/>
      <c r="D1053" s="506"/>
      <c r="E1053" s="506" t="s">
        <v>520</v>
      </c>
      <c r="F1053" s="506"/>
      <c r="G1053" s="506"/>
      <c r="H1053" s="506" t="s">
        <v>537</v>
      </c>
      <c r="I1053" s="506" t="s">
        <v>519</v>
      </c>
      <c r="J1053" s="525">
        <v>1726</v>
      </c>
    </row>
    <row r="1054" spans="1:10" s="514" customFormat="1" ht="14.25" x14ac:dyDescent="0.2">
      <c r="A1054" s="522"/>
      <c r="B1054" s="522"/>
      <c r="C1054" s="522">
        <v>132</v>
      </c>
      <c r="D1054" s="522"/>
      <c r="E1054" s="522"/>
      <c r="F1054" s="522"/>
      <c r="G1054" s="522">
        <v>150</v>
      </c>
      <c r="H1054" s="522"/>
      <c r="I1054" s="522"/>
      <c r="J1054" s="531">
        <f>SUM(J1052:J1053)</f>
        <v>10756</v>
      </c>
    </row>
    <row r="1055" spans="1:10" ht="14.25" x14ac:dyDescent="0.2">
      <c r="A1055" s="506"/>
      <c r="B1055" s="520"/>
      <c r="C1055" s="506">
        <v>132</v>
      </c>
      <c r="D1055" s="506"/>
      <c r="E1055" s="506" t="s">
        <v>520</v>
      </c>
      <c r="F1055" s="506"/>
      <c r="G1055" s="506">
        <v>140</v>
      </c>
      <c r="H1055" s="506" t="s">
        <v>538</v>
      </c>
      <c r="I1055" s="506" t="s">
        <v>519</v>
      </c>
      <c r="J1055" s="525">
        <v>19744</v>
      </c>
    </row>
    <row r="1056" spans="1:10" ht="14.25" x14ac:dyDescent="0.2">
      <c r="A1056" s="506"/>
      <c r="B1056" s="520"/>
      <c r="C1056" s="506"/>
      <c r="D1056" s="506"/>
      <c r="E1056" s="506" t="s">
        <v>520</v>
      </c>
      <c r="F1056" s="506"/>
      <c r="G1056" s="506"/>
      <c r="H1056" s="506" t="s">
        <v>537</v>
      </c>
      <c r="I1056" s="506" t="s">
        <v>519</v>
      </c>
      <c r="J1056" s="525">
        <v>5978</v>
      </c>
    </row>
    <row r="1057" spans="1:10" s="514" customFormat="1" ht="14.25" x14ac:dyDescent="0.2">
      <c r="A1057" s="522"/>
      <c r="B1057" s="522"/>
      <c r="C1057" s="522">
        <v>132</v>
      </c>
      <c r="D1057" s="522"/>
      <c r="E1057" s="522"/>
      <c r="F1057" s="522"/>
      <c r="G1057" s="522">
        <v>140</v>
      </c>
      <c r="H1057" s="522"/>
      <c r="I1057" s="522"/>
      <c r="J1057" s="531">
        <f>SUM(J1055:J1056)</f>
        <v>25722</v>
      </c>
    </row>
    <row r="1058" spans="1:10" ht="14.25" x14ac:dyDescent="0.2">
      <c r="A1058" s="506"/>
      <c r="B1058" s="520"/>
      <c r="C1058" s="506">
        <v>132</v>
      </c>
      <c r="D1058" s="506"/>
      <c r="E1058" s="506" t="s">
        <v>520</v>
      </c>
      <c r="F1058" s="506"/>
      <c r="G1058" s="506">
        <v>130</v>
      </c>
      <c r="H1058" s="506" t="s">
        <v>538</v>
      </c>
      <c r="I1058" s="506" t="s">
        <v>519</v>
      </c>
      <c r="J1058" s="525">
        <v>9909</v>
      </c>
    </row>
    <row r="1059" spans="1:10" ht="14.25" x14ac:dyDescent="0.2">
      <c r="A1059" s="506"/>
      <c r="B1059" s="520"/>
      <c r="C1059" s="506"/>
      <c r="D1059" s="506"/>
      <c r="E1059" s="506" t="s">
        <v>520</v>
      </c>
      <c r="F1059" s="506"/>
      <c r="G1059" s="506"/>
      <c r="H1059" s="506" t="s">
        <v>537</v>
      </c>
      <c r="I1059" s="506" t="s">
        <v>519</v>
      </c>
      <c r="J1059" s="525">
        <v>3604</v>
      </c>
    </row>
    <row r="1060" spans="1:10" s="514" customFormat="1" ht="14.25" x14ac:dyDescent="0.2">
      <c r="A1060" s="522"/>
      <c r="B1060" s="522"/>
      <c r="C1060" s="522">
        <v>132</v>
      </c>
      <c r="D1060" s="522"/>
      <c r="E1060" s="522"/>
      <c r="F1060" s="522"/>
      <c r="G1060" s="522">
        <v>130</v>
      </c>
      <c r="H1060" s="522"/>
      <c r="I1060" s="522"/>
      <c r="J1060" s="531">
        <f>SUM(J1058:J1059)</f>
        <v>13513</v>
      </c>
    </row>
    <row r="1061" spans="1:10" ht="14.25" x14ac:dyDescent="0.2">
      <c r="A1061" s="506"/>
      <c r="B1061" s="520"/>
      <c r="C1061" s="506">
        <v>132</v>
      </c>
      <c r="D1061" s="506"/>
      <c r="E1061" s="506" t="s">
        <v>520</v>
      </c>
      <c r="F1061" s="506"/>
      <c r="G1061" s="506">
        <v>120</v>
      </c>
      <c r="H1061" s="506" t="s">
        <v>538</v>
      </c>
      <c r="I1061" s="506" t="s">
        <v>519</v>
      </c>
      <c r="J1061" s="525">
        <v>11583</v>
      </c>
    </row>
    <row r="1062" spans="1:10" s="514" customFormat="1" ht="14.25" x14ac:dyDescent="0.2">
      <c r="A1062" s="522"/>
      <c r="B1062" s="522"/>
      <c r="C1062" s="522">
        <v>132</v>
      </c>
      <c r="D1062" s="522"/>
      <c r="E1062" s="522"/>
      <c r="F1062" s="522"/>
      <c r="G1062" s="522">
        <v>120</v>
      </c>
      <c r="H1062" s="522"/>
      <c r="I1062" s="522"/>
      <c r="J1062" s="531">
        <f>SUM(J1061)</f>
        <v>11583</v>
      </c>
    </row>
    <row r="1063" spans="1:10" ht="14.25" x14ac:dyDescent="0.2">
      <c r="A1063" s="506"/>
      <c r="B1063" s="520"/>
      <c r="C1063" s="506">
        <v>132</v>
      </c>
      <c r="D1063" s="506"/>
      <c r="E1063" s="506" t="s">
        <v>520</v>
      </c>
      <c r="F1063" s="506"/>
      <c r="G1063" s="506">
        <v>110</v>
      </c>
      <c r="H1063" s="506" t="s">
        <v>538</v>
      </c>
      <c r="I1063" s="506" t="s">
        <v>519</v>
      </c>
      <c r="J1063" s="525">
        <v>23160</v>
      </c>
    </row>
    <row r="1064" spans="1:10" s="514" customFormat="1" ht="14.25" x14ac:dyDescent="0.2">
      <c r="A1064" s="522"/>
      <c r="B1064" s="522"/>
      <c r="C1064" s="522">
        <v>132</v>
      </c>
      <c r="D1064" s="522"/>
      <c r="E1064" s="522"/>
      <c r="F1064" s="522"/>
      <c r="G1064" s="522">
        <v>110</v>
      </c>
      <c r="H1064" s="522"/>
      <c r="I1064" s="522"/>
      <c r="J1064" s="531">
        <f>SUM(J1063)</f>
        <v>23160</v>
      </c>
    </row>
    <row r="1065" spans="1:10" ht="14.25" x14ac:dyDescent="0.2">
      <c r="A1065" s="506"/>
      <c r="B1065" s="520"/>
      <c r="C1065" s="506">
        <v>132</v>
      </c>
      <c r="D1065" s="506"/>
      <c r="E1065" s="506" t="s">
        <v>520</v>
      </c>
      <c r="F1065" s="506"/>
      <c r="G1065" s="506">
        <v>100</v>
      </c>
      <c r="H1065" s="506" t="s">
        <v>538</v>
      </c>
      <c r="I1065" s="506" t="s">
        <v>519</v>
      </c>
      <c r="J1065" s="525">
        <v>26475</v>
      </c>
    </row>
    <row r="1066" spans="1:10" ht="14.25" x14ac:dyDescent="0.2">
      <c r="A1066" s="506"/>
      <c r="B1066" s="520"/>
      <c r="C1066" s="506"/>
      <c r="D1066" s="506"/>
      <c r="E1066" s="506" t="s">
        <v>520</v>
      </c>
      <c r="F1066" s="506"/>
      <c r="G1066" s="506"/>
      <c r="H1066" s="506" t="s">
        <v>537</v>
      </c>
      <c r="I1066" s="506" t="s">
        <v>519</v>
      </c>
      <c r="J1066" s="525">
        <v>6375</v>
      </c>
    </row>
    <row r="1067" spans="1:10" s="514" customFormat="1" ht="14.25" x14ac:dyDescent="0.2">
      <c r="A1067" s="522"/>
      <c r="B1067" s="522"/>
      <c r="C1067" s="522">
        <v>132</v>
      </c>
      <c r="D1067" s="522"/>
      <c r="E1067" s="522"/>
      <c r="F1067" s="522"/>
      <c r="G1067" s="522">
        <v>100</v>
      </c>
      <c r="H1067" s="522"/>
      <c r="I1067" s="522"/>
      <c r="J1067" s="531">
        <f>SUM(J1065:J1066)</f>
        <v>32850</v>
      </c>
    </row>
    <row r="1068" spans="1:10" ht="14.25" x14ac:dyDescent="0.2">
      <c r="A1068" s="506"/>
      <c r="B1068" s="520"/>
      <c r="C1068" s="506">
        <v>132</v>
      </c>
      <c r="D1068" s="506"/>
      <c r="E1068" s="506" t="s">
        <v>520</v>
      </c>
      <c r="F1068" s="506"/>
      <c r="G1068" s="506">
        <v>90</v>
      </c>
      <c r="H1068" s="506" t="s">
        <v>538</v>
      </c>
      <c r="I1068" s="506" t="s">
        <v>519</v>
      </c>
      <c r="J1068" s="525">
        <v>16959</v>
      </c>
    </row>
    <row r="1069" spans="1:10" s="514" customFormat="1" ht="14.25" x14ac:dyDescent="0.2">
      <c r="A1069" s="522"/>
      <c r="B1069" s="522"/>
      <c r="C1069" s="522">
        <v>132</v>
      </c>
      <c r="D1069" s="522"/>
      <c r="E1069" s="522"/>
      <c r="F1069" s="522"/>
      <c r="G1069" s="522">
        <v>90</v>
      </c>
      <c r="H1069" s="522"/>
      <c r="I1069" s="522"/>
      <c r="J1069" s="531">
        <f>SUM(J1068)</f>
        <v>16959</v>
      </c>
    </row>
    <row r="1070" spans="1:10" ht="14.25" x14ac:dyDescent="0.2">
      <c r="A1070" s="506"/>
      <c r="B1070" s="520"/>
      <c r="C1070" s="506">
        <v>132</v>
      </c>
      <c r="D1070" s="506"/>
      <c r="E1070" s="506" t="s">
        <v>520</v>
      </c>
      <c r="F1070" s="506"/>
      <c r="G1070" s="506">
        <v>80</v>
      </c>
      <c r="H1070" s="506" t="s">
        <v>538</v>
      </c>
      <c r="I1070" s="506" t="s">
        <v>519</v>
      </c>
      <c r="J1070" s="525">
        <v>26573</v>
      </c>
    </row>
    <row r="1071" spans="1:10" ht="14.25" x14ac:dyDescent="0.2">
      <c r="A1071" s="506"/>
      <c r="B1071" s="520"/>
      <c r="C1071" s="506"/>
      <c r="D1071" s="506"/>
      <c r="E1071" s="506" t="s">
        <v>520</v>
      </c>
      <c r="F1071" s="506"/>
      <c r="G1071" s="506"/>
      <c r="H1071" s="506" t="s">
        <v>537</v>
      </c>
      <c r="I1071" s="506" t="s">
        <v>519</v>
      </c>
      <c r="J1071" s="525">
        <v>8167</v>
      </c>
    </row>
    <row r="1072" spans="1:10" s="514" customFormat="1" ht="14.25" x14ac:dyDescent="0.2">
      <c r="A1072" s="522"/>
      <c r="B1072" s="522"/>
      <c r="C1072" s="522">
        <v>132</v>
      </c>
      <c r="D1072" s="522"/>
      <c r="E1072" s="522"/>
      <c r="F1072" s="522"/>
      <c r="G1072" s="522">
        <v>80</v>
      </c>
      <c r="H1072" s="522"/>
      <c r="I1072" s="522"/>
      <c r="J1072" s="531">
        <f>SUM(J1070:J1071)</f>
        <v>34740</v>
      </c>
    </row>
    <row r="1073" spans="1:10" ht="14.25" x14ac:dyDescent="0.2">
      <c r="A1073" s="506"/>
      <c r="B1073" s="520"/>
      <c r="C1073" s="506">
        <v>132</v>
      </c>
      <c r="D1073" s="506"/>
      <c r="E1073" s="506" t="s">
        <v>516</v>
      </c>
      <c r="F1073" s="506"/>
      <c r="G1073" s="506">
        <v>70</v>
      </c>
      <c r="H1073" s="506" t="s">
        <v>536</v>
      </c>
      <c r="I1073" s="506" t="s">
        <v>519</v>
      </c>
      <c r="J1073" s="525">
        <v>-10574</v>
      </c>
    </row>
    <row r="1074" spans="1:10" s="514" customFormat="1" ht="14.25" x14ac:dyDescent="0.2">
      <c r="A1074" s="522"/>
      <c r="B1074" s="522"/>
      <c r="C1074" s="522">
        <v>132</v>
      </c>
      <c r="D1074" s="522"/>
      <c r="E1074" s="522"/>
      <c r="F1074" s="522"/>
      <c r="G1074" s="522">
        <v>70</v>
      </c>
      <c r="H1074" s="522"/>
      <c r="I1074" s="522"/>
      <c r="J1074" s="531">
        <f>SUM(J1073)</f>
        <v>-10574</v>
      </c>
    </row>
    <row r="1075" spans="1:10" ht="14.25" x14ac:dyDescent="0.2">
      <c r="A1075" s="506"/>
      <c r="B1075" s="520"/>
      <c r="C1075" s="506">
        <v>132</v>
      </c>
      <c r="D1075" s="506"/>
      <c r="E1075" s="506" t="s">
        <v>520</v>
      </c>
      <c r="F1075" s="506"/>
      <c r="G1075" s="506">
        <v>60</v>
      </c>
      <c r="H1075" s="506" t="s">
        <v>538</v>
      </c>
      <c r="I1075" s="506" t="s">
        <v>519</v>
      </c>
      <c r="J1075" s="525">
        <v>9709</v>
      </c>
    </row>
    <row r="1076" spans="1:10" ht="14.25" x14ac:dyDescent="0.2">
      <c r="A1076" s="506"/>
      <c r="B1076" s="520"/>
      <c r="C1076" s="506"/>
      <c r="D1076" s="506"/>
      <c r="E1076" s="506" t="s">
        <v>520</v>
      </c>
      <c r="F1076" s="506"/>
      <c r="G1076" s="506"/>
      <c r="H1076" s="506" t="s">
        <v>537</v>
      </c>
      <c r="I1076" s="506" t="s">
        <v>519</v>
      </c>
      <c r="J1076" s="525">
        <v>5878</v>
      </c>
    </row>
    <row r="1077" spans="1:10" s="514" customFormat="1" ht="14.25" x14ac:dyDescent="0.2">
      <c r="A1077" s="522"/>
      <c r="B1077" s="522"/>
      <c r="C1077" s="522">
        <v>132</v>
      </c>
      <c r="D1077" s="522"/>
      <c r="E1077" s="522"/>
      <c r="F1077" s="522"/>
      <c r="G1077" s="522">
        <v>60</v>
      </c>
      <c r="H1077" s="522"/>
      <c r="I1077" s="522"/>
      <c r="J1077" s="531">
        <f>SUM(J1075:J1076)</f>
        <v>15587</v>
      </c>
    </row>
    <row r="1078" spans="1:10" ht="14.25" x14ac:dyDescent="0.2">
      <c r="A1078" s="506"/>
      <c r="B1078" s="520"/>
      <c r="C1078" s="506">
        <v>132</v>
      </c>
      <c r="D1078" s="506"/>
      <c r="E1078" s="506" t="s">
        <v>520</v>
      </c>
      <c r="F1078" s="506"/>
      <c r="G1078" s="506">
        <v>50</v>
      </c>
      <c r="H1078" s="506" t="s">
        <v>538</v>
      </c>
      <c r="I1078" s="506" t="s">
        <v>519</v>
      </c>
      <c r="J1078" s="525">
        <v>22564</v>
      </c>
    </row>
    <row r="1079" spans="1:10" ht="14.25" x14ac:dyDescent="0.2">
      <c r="A1079" s="506"/>
      <c r="B1079" s="520"/>
      <c r="C1079" s="506"/>
      <c r="D1079" s="506"/>
      <c r="E1079" s="506" t="s">
        <v>520</v>
      </c>
      <c r="F1079" s="506"/>
      <c r="G1079" s="506"/>
      <c r="H1079" s="506" t="s">
        <v>537</v>
      </c>
      <c r="I1079" s="506" t="s">
        <v>519</v>
      </c>
      <c r="J1079" s="525">
        <v>5058</v>
      </c>
    </row>
    <row r="1080" spans="1:10" s="514" customFormat="1" ht="14.25" x14ac:dyDescent="0.2">
      <c r="A1080" s="522"/>
      <c r="B1080" s="522"/>
      <c r="C1080" s="522">
        <v>132</v>
      </c>
      <c r="D1080" s="522"/>
      <c r="E1080" s="522"/>
      <c r="F1080" s="522"/>
      <c r="G1080" s="522">
        <v>50</v>
      </c>
      <c r="H1080" s="522"/>
      <c r="I1080" s="522"/>
      <c r="J1080" s="531">
        <f>SUM(J1078:J1079)</f>
        <v>27622</v>
      </c>
    </row>
    <row r="1081" spans="1:10" ht="14.25" x14ac:dyDescent="0.2">
      <c r="A1081" s="506"/>
      <c r="B1081" s="520"/>
      <c r="C1081" s="506">
        <v>132</v>
      </c>
      <c r="D1081" s="506"/>
      <c r="E1081" s="506" t="s">
        <v>520</v>
      </c>
      <c r="F1081" s="506"/>
      <c r="G1081" s="506">
        <v>40</v>
      </c>
      <c r="H1081" s="506" t="s">
        <v>538</v>
      </c>
      <c r="I1081" s="506" t="s">
        <v>519</v>
      </c>
      <c r="J1081" s="525">
        <v>75207</v>
      </c>
    </row>
    <row r="1082" spans="1:10" ht="14.25" x14ac:dyDescent="0.2">
      <c r="A1082" s="506"/>
      <c r="B1082" s="520"/>
      <c r="C1082" s="506"/>
      <c r="D1082" s="506"/>
      <c r="E1082" s="506" t="s">
        <v>520</v>
      </c>
      <c r="F1082" s="506"/>
      <c r="G1082" s="506"/>
      <c r="H1082" s="506" t="s">
        <v>537</v>
      </c>
      <c r="I1082" s="506" t="s">
        <v>519</v>
      </c>
      <c r="J1082" s="525">
        <v>19534</v>
      </c>
    </row>
    <row r="1083" spans="1:10" s="514" customFormat="1" ht="14.25" x14ac:dyDescent="0.2">
      <c r="A1083" s="522"/>
      <c r="B1083" s="522"/>
      <c r="C1083" s="522">
        <v>132</v>
      </c>
      <c r="D1083" s="522"/>
      <c r="E1083" s="522"/>
      <c r="F1083" s="522"/>
      <c r="G1083" s="522">
        <v>40</v>
      </c>
      <c r="H1083" s="522"/>
      <c r="I1083" s="522"/>
      <c r="J1083" s="531">
        <f>SUM(J1081:J1082)</f>
        <v>94741</v>
      </c>
    </row>
    <row r="1084" spans="1:10" ht="14.25" x14ac:dyDescent="0.2">
      <c r="A1084" s="506"/>
      <c r="B1084" s="520"/>
      <c r="C1084" s="506">
        <v>132</v>
      </c>
      <c r="D1084" s="506"/>
      <c r="E1084" s="506" t="s">
        <v>520</v>
      </c>
      <c r="F1084" s="506"/>
      <c r="G1084" s="506">
        <v>20</v>
      </c>
      <c r="H1084" s="506" t="s">
        <v>538</v>
      </c>
      <c r="I1084" s="506" t="s">
        <v>519</v>
      </c>
      <c r="J1084" s="525">
        <v>53018</v>
      </c>
    </row>
    <row r="1085" spans="1:10" s="514" customFormat="1" ht="14.25" x14ac:dyDescent="0.2">
      <c r="A1085" s="510" t="s">
        <v>769</v>
      </c>
      <c r="B1085" s="512"/>
      <c r="C1085" s="512">
        <v>132</v>
      </c>
      <c r="D1085" s="512"/>
      <c r="E1085" s="512"/>
      <c r="F1085" s="512"/>
      <c r="G1085" s="512">
        <v>20</v>
      </c>
      <c r="H1085" s="512"/>
      <c r="I1085" s="512"/>
      <c r="J1085" s="527">
        <f>SUM(J1084)</f>
        <v>53018</v>
      </c>
    </row>
    <row r="1086" spans="1:10" x14ac:dyDescent="0.2">
      <c r="A1086" s="569"/>
      <c r="B1086" s="569"/>
      <c r="C1086" s="569"/>
      <c r="D1086" s="569"/>
      <c r="E1086" s="569"/>
      <c r="F1086" s="569"/>
      <c r="G1086" s="569"/>
      <c r="H1086" s="569"/>
      <c r="I1086" s="569"/>
      <c r="J1086" s="601"/>
    </row>
    <row r="1087" spans="1:10" ht="14.25" x14ac:dyDescent="0.2">
      <c r="A1087" s="506">
        <v>787</v>
      </c>
      <c r="B1087" s="520">
        <v>42003</v>
      </c>
      <c r="C1087" s="506">
        <v>137</v>
      </c>
      <c r="D1087" s="506" t="s">
        <v>770</v>
      </c>
      <c r="E1087" s="506" t="s">
        <v>516</v>
      </c>
      <c r="F1087" s="590" t="s">
        <v>517</v>
      </c>
      <c r="G1087" s="506">
        <v>35</v>
      </c>
      <c r="H1087" s="506" t="s">
        <v>598</v>
      </c>
      <c r="I1087" s="506" t="s">
        <v>519</v>
      </c>
      <c r="J1087" s="525">
        <v>-180</v>
      </c>
    </row>
    <row r="1088" spans="1:10" ht="14.25" x14ac:dyDescent="0.2">
      <c r="A1088" s="506"/>
      <c r="B1088" s="520"/>
      <c r="C1088" s="506"/>
      <c r="D1088" s="506"/>
      <c r="E1088" s="506" t="s">
        <v>520</v>
      </c>
      <c r="F1088" s="590" t="s">
        <v>521</v>
      </c>
      <c r="G1088" s="506"/>
      <c r="H1088" s="506" t="s">
        <v>556</v>
      </c>
      <c r="I1088" s="506" t="s">
        <v>519</v>
      </c>
      <c r="J1088" s="525">
        <v>168</v>
      </c>
    </row>
    <row r="1089" spans="1:10" ht="14.25" x14ac:dyDescent="0.2">
      <c r="A1089" s="506"/>
      <c r="B1089" s="520"/>
      <c r="C1089" s="506"/>
      <c r="D1089" s="506"/>
      <c r="E1089" s="506" t="s">
        <v>520</v>
      </c>
      <c r="F1089" s="506"/>
      <c r="G1089" s="506"/>
      <c r="H1089" s="506" t="s">
        <v>525</v>
      </c>
      <c r="I1089" s="506" t="s">
        <v>519</v>
      </c>
      <c r="J1089" s="525">
        <v>12</v>
      </c>
    </row>
    <row r="1090" spans="1:10" s="514" customFormat="1" ht="14.25" x14ac:dyDescent="0.2">
      <c r="A1090" s="522"/>
      <c r="B1090" s="522"/>
      <c r="C1090" s="522">
        <v>137</v>
      </c>
      <c r="D1090" s="522"/>
      <c r="E1090" s="522"/>
      <c r="F1090" s="522"/>
      <c r="G1090" s="522">
        <v>35</v>
      </c>
      <c r="H1090" s="522"/>
      <c r="I1090" s="522"/>
      <c r="J1090" s="531">
        <f>SUM(J1087:J1089)</f>
        <v>0</v>
      </c>
    </row>
    <row r="1091" spans="1:10" ht="14.25" x14ac:dyDescent="0.2">
      <c r="A1091" s="506"/>
      <c r="B1091" s="520"/>
      <c r="C1091" s="506">
        <v>132</v>
      </c>
      <c r="D1091" s="506"/>
      <c r="E1091" s="506" t="s">
        <v>516</v>
      </c>
      <c r="F1091" s="506"/>
      <c r="G1091" s="506">
        <v>35</v>
      </c>
      <c r="H1091" s="506" t="s">
        <v>595</v>
      </c>
      <c r="I1091" s="506" t="s">
        <v>519</v>
      </c>
      <c r="J1091" s="525">
        <v>-734</v>
      </c>
    </row>
    <row r="1092" spans="1:10" ht="14.25" x14ac:dyDescent="0.2">
      <c r="A1092" s="506"/>
      <c r="B1092" s="520"/>
      <c r="C1092" s="506"/>
      <c r="D1092" s="506"/>
      <c r="E1092" s="506" t="s">
        <v>520</v>
      </c>
      <c r="F1092" s="506"/>
      <c r="G1092" s="506"/>
      <c r="H1092" s="506" t="s">
        <v>526</v>
      </c>
      <c r="I1092" s="506" t="s">
        <v>519</v>
      </c>
      <c r="J1092" s="525">
        <v>692</v>
      </c>
    </row>
    <row r="1093" spans="1:10" ht="14.25" x14ac:dyDescent="0.2">
      <c r="A1093" s="506"/>
      <c r="B1093" s="520"/>
      <c r="C1093" s="506"/>
      <c r="D1093" s="506"/>
      <c r="E1093" s="506" t="s">
        <v>520</v>
      </c>
      <c r="F1093" s="506"/>
      <c r="G1093" s="506"/>
      <c r="H1093" s="506" t="s">
        <v>771</v>
      </c>
      <c r="I1093" s="506" t="s">
        <v>519</v>
      </c>
      <c r="J1093" s="525">
        <v>42</v>
      </c>
    </row>
    <row r="1094" spans="1:10" ht="14.25" x14ac:dyDescent="0.2">
      <c r="A1094" s="506"/>
      <c r="B1094" s="520"/>
      <c r="C1094" s="506"/>
      <c r="D1094" s="506"/>
      <c r="E1094" s="506" t="s">
        <v>516</v>
      </c>
      <c r="F1094" s="506"/>
      <c r="G1094" s="506"/>
      <c r="H1094" s="506" t="s">
        <v>556</v>
      </c>
      <c r="I1094" s="506" t="s">
        <v>519</v>
      </c>
      <c r="J1094" s="525">
        <v>-62</v>
      </c>
    </row>
    <row r="1095" spans="1:10" ht="14.25" x14ac:dyDescent="0.2">
      <c r="A1095" s="506"/>
      <c r="B1095" s="520"/>
      <c r="C1095" s="506"/>
      <c r="D1095" s="506"/>
      <c r="E1095" s="506" t="s">
        <v>520</v>
      </c>
      <c r="F1095" s="506"/>
      <c r="G1095" s="506"/>
      <c r="H1095" s="506" t="s">
        <v>557</v>
      </c>
      <c r="I1095" s="506" t="s">
        <v>519</v>
      </c>
      <c r="J1095" s="525">
        <v>62</v>
      </c>
    </row>
    <row r="1096" spans="1:10" ht="14.25" x14ac:dyDescent="0.2">
      <c r="A1096" s="506"/>
      <c r="B1096" s="520"/>
      <c r="C1096" s="506"/>
      <c r="D1096" s="506"/>
      <c r="E1096" s="506" t="s">
        <v>516</v>
      </c>
      <c r="F1096" s="506"/>
      <c r="G1096" s="506"/>
      <c r="H1096" s="506" t="s">
        <v>518</v>
      </c>
      <c r="I1096" s="506" t="s">
        <v>519</v>
      </c>
      <c r="J1096" s="525">
        <v>-174</v>
      </c>
    </row>
    <row r="1097" spans="1:10" ht="14.25" x14ac:dyDescent="0.2">
      <c r="A1097" s="506"/>
      <c r="B1097" s="520"/>
      <c r="C1097" s="506"/>
      <c r="D1097" s="506"/>
      <c r="E1097" s="506" t="s">
        <v>520</v>
      </c>
      <c r="F1097" s="506"/>
      <c r="G1097" s="506"/>
      <c r="H1097" s="506" t="s">
        <v>697</v>
      </c>
      <c r="I1097" s="506" t="s">
        <v>519</v>
      </c>
      <c r="J1097" s="525">
        <v>174</v>
      </c>
    </row>
    <row r="1098" spans="1:10" ht="14.25" x14ac:dyDescent="0.2">
      <c r="A1098" s="506"/>
      <c r="B1098" s="520"/>
      <c r="C1098" s="506"/>
      <c r="D1098" s="506"/>
      <c r="E1098" s="506" t="s">
        <v>516</v>
      </c>
      <c r="F1098" s="506"/>
      <c r="G1098" s="506"/>
      <c r="H1098" s="506" t="s">
        <v>604</v>
      </c>
      <c r="I1098" s="506" t="s">
        <v>519</v>
      </c>
      <c r="J1098" s="525">
        <v>-5611</v>
      </c>
    </row>
    <row r="1099" spans="1:10" ht="14.25" x14ac:dyDescent="0.2">
      <c r="A1099" s="506"/>
      <c r="B1099" s="520"/>
      <c r="C1099" s="506"/>
      <c r="D1099" s="506"/>
      <c r="E1099" s="506" t="s">
        <v>520</v>
      </c>
      <c r="F1099" s="506"/>
      <c r="G1099" s="506"/>
      <c r="H1099" s="506" t="s">
        <v>603</v>
      </c>
      <c r="I1099" s="506" t="s">
        <v>519</v>
      </c>
      <c r="J1099" s="525">
        <v>5611</v>
      </c>
    </row>
    <row r="1100" spans="1:10" s="514" customFormat="1" ht="14.25" x14ac:dyDescent="0.2">
      <c r="A1100" s="510" t="s">
        <v>772</v>
      </c>
      <c r="B1100" s="512"/>
      <c r="C1100" s="512">
        <v>132</v>
      </c>
      <c r="D1100" s="512"/>
      <c r="E1100" s="512"/>
      <c r="F1100" s="512"/>
      <c r="G1100" s="512">
        <v>35</v>
      </c>
      <c r="H1100" s="512"/>
      <c r="I1100" s="512"/>
      <c r="J1100" s="527">
        <f>SUM(J1091:J1099)</f>
        <v>0</v>
      </c>
    </row>
    <row r="1101" spans="1:10" x14ac:dyDescent="0.2">
      <c r="A1101" s="569"/>
      <c r="B1101" s="569"/>
      <c r="C1101" s="569"/>
      <c r="D1101" s="569"/>
      <c r="E1101" s="569"/>
      <c r="F1101" s="569"/>
      <c r="G1101" s="569"/>
      <c r="H1101" s="569"/>
      <c r="I1101" s="569"/>
      <c r="J1101" s="601"/>
    </row>
    <row r="1102" spans="1:10" ht="14.25" x14ac:dyDescent="0.2">
      <c r="A1102" s="506">
        <v>827</v>
      </c>
      <c r="B1102" s="520">
        <v>42003</v>
      </c>
      <c r="C1102" s="506">
        <v>132</v>
      </c>
      <c r="D1102" s="506" t="s">
        <v>773</v>
      </c>
      <c r="E1102" s="506" t="s">
        <v>520</v>
      </c>
      <c r="F1102" s="590" t="s">
        <v>517</v>
      </c>
      <c r="G1102" s="506">
        <v>370</v>
      </c>
      <c r="H1102" s="506" t="s">
        <v>537</v>
      </c>
      <c r="I1102" s="506" t="s">
        <v>519</v>
      </c>
      <c r="J1102" s="525">
        <v>30</v>
      </c>
    </row>
    <row r="1103" spans="1:10" ht="14.25" x14ac:dyDescent="0.2">
      <c r="A1103" s="519"/>
      <c r="B1103" s="519"/>
      <c r="C1103" s="506">
        <v>132</v>
      </c>
      <c r="D1103" s="506"/>
      <c r="E1103" s="506" t="s">
        <v>516</v>
      </c>
      <c r="F1103" s="590" t="s">
        <v>521</v>
      </c>
      <c r="G1103" s="506">
        <v>370</v>
      </c>
      <c r="H1103" s="506" t="s">
        <v>595</v>
      </c>
      <c r="I1103" s="506" t="s">
        <v>519</v>
      </c>
      <c r="J1103" s="525">
        <v>-30</v>
      </c>
    </row>
    <row r="1104" spans="1:10" s="514" customFormat="1" ht="14.25" x14ac:dyDescent="0.2">
      <c r="A1104" s="613"/>
      <c r="B1104" s="613"/>
      <c r="C1104" s="522">
        <v>132</v>
      </c>
      <c r="D1104" s="522"/>
      <c r="E1104" s="522"/>
      <c r="F1104" s="522"/>
      <c r="G1104" s="522">
        <v>370</v>
      </c>
      <c r="H1104" s="522"/>
      <c r="I1104" s="522"/>
      <c r="J1104" s="531">
        <f>SUM(J1102:J1103)</f>
        <v>0</v>
      </c>
    </row>
    <row r="1105" spans="1:10" ht="14.25" x14ac:dyDescent="0.2">
      <c r="A1105" s="506"/>
      <c r="B1105" s="520"/>
      <c r="C1105" s="506">
        <v>132</v>
      </c>
      <c r="D1105" s="506"/>
      <c r="E1105" s="506" t="s">
        <v>520</v>
      </c>
      <c r="F1105" s="506"/>
      <c r="G1105" s="506">
        <v>270</v>
      </c>
      <c r="H1105" s="506" t="s">
        <v>537</v>
      </c>
      <c r="I1105" s="506" t="s">
        <v>519</v>
      </c>
      <c r="J1105" s="525">
        <v>4221</v>
      </c>
    </row>
    <row r="1106" spans="1:10" ht="14.25" x14ac:dyDescent="0.2">
      <c r="A1106" s="506"/>
      <c r="B1106" s="520"/>
      <c r="C1106" s="506">
        <v>132</v>
      </c>
      <c r="D1106" s="506"/>
      <c r="E1106" s="506" t="s">
        <v>516</v>
      </c>
      <c r="F1106" s="506"/>
      <c r="G1106" s="506">
        <v>270</v>
      </c>
      <c r="H1106" s="506" t="s">
        <v>705</v>
      </c>
      <c r="I1106" s="506" t="s">
        <v>519</v>
      </c>
      <c r="J1106" s="525">
        <v>-2080</v>
      </c>
    </row>
    <row r="1107" spans="1:10" ht="14.25" x14ac:dyDescent="0.2">
      <c r="A1107" s="506"/>
      <c r="B1107" s="520"/>
      <c r="C1107" s="506">
        <v>132</v>
      </c>
      <c r="D1107" s="506"/>
      <c r="E1107" s="506" t="s">
        <v>516</v>
      </c>
      <c r="F1107" s="506"/>
      <c r="G1107" s="506">
        <v>270</v>
      </c>
      <c r="H1107" s="506" t="s">
        <v>617</v>
      </c>
      <c r="I1107" s="506" t="s">
        <v>519</v>
      </c>
      <c r="J1107" s="525">
        <v>-2141</v>
      </c>
    </row>
    <row r="1108" spans="1:10" s="514" customFormat="1" ht="14.25" x14ac:dyDescent="0.2">
      <c r="A1108" s="522"/>
      <c r="B1108" s="522"/>
      <c r="C1108" s="522">
        <v>132</v>
      </c>
      <c r="D1108" s="522"/>
      <c r="E1108" s="522"/>
      <c r="F1108" s="522"/>
      <c r="G1108" s="522">
        <v>270</v>
      </c>
      <c r="H1108" s="522"/>
      <c r="I1108" s="522"/>
      <c r="J1108" s="531">
        <f>SUM(J1105:J1107)</f>
        <v>0</v>
      </c>
    </row>
    <row r="1109" spans="1:10" ht="14.25" x14ac:dyDescent="0.2">
      <c r="A1109" s="506"/>
      <c r="B1109" s="506"/>
      <c r="C1109" s="506">
        <v>132</v>
      </c>
      <c r="D1109" s="506"/>
      <c r="E1109" s="506" t="s">
        <v>520</v>
      </c>
      <c r="F1109" s="506"/>
      <c r="G1109" s="506">
        <v>260</v>
      </c>
      <c r="H1109" s="506" t="s">
        <v>543</v>
      </c>
      <c r="I1109" s="506" t="s">
        <v>519</v>
      </c>
      <c r="J1109" s="525">
        <v>6</v>
      </c>
    </row>
    <row r="1110" spans="1:10" ht="14.25" x14ac:dyDescent="0.2">
      <c r="A1110" s="506"/>
      <c r="B1110" s="506"/>
      <c r="C1110" s="506">
        <v>132</v>
      </c>
      <c r="D1110" s="506"/>
      <c r="E1110" s="506" t="s">
        <v>516</v>
      </c>
      <c r="F1110" s="506"/>
      <c r="G1110" s="506">
        <v>260</v>
      </c>
      <c r="H1110" s="506" t="s">
        <v>556</v>
      </c>
      <c r="I1110" s="506" t="s">
        <v>519</v>
      </c>
      <c r="J1110" s="525">
        <v>-6</v>
      </c>
    </row>
    <row r="1111" spans="1:10" s="514" customFormat="1" ht="14.25" x14ac:dyDescent="0.2">
      <c r="A1111" s="522"/>
      <c r="B1111" s="522"/>
      <c r="C1111" s="522">
        <v>132</v>
      </c>
      <c r="D1111" s="522"/>
      <c r="E1111" s="522"/>
      <c r="F1111" s="522"/>
      <c r="G1111" s="522">
        <v>260</v>
      </c>
      <c r="H1111" s="522"/>
      <c r="I1111" s="522"/>
      <c r="J1111" s="531">
        <f>SUM(J1109:J1110)</f>
        <v>0</v>
      </c>
    </row>
    <row r="1112" spans="1:10" ht="14.25" x14ac:dyDescent="0.2">
      <c r="A1112" s="506"/>
      <c r="B1112" s="520"/>
      <c r="C1112" s="506">
        <v>132</v>
      </c>
      <c r="D1112" s="506"/>
      <c r="E1112" s="506" t="s">
        <v>520</v>
      </c>
      <c r="F1112" s="506"/>
      <c r="G1112" s="506">
        <v>210</v>
      </c>
      <c r="H1112" s="506" t="s">
        <v>542</v>
      </c>
      <c r="I1112" s="506" t="s">
        <v>519</v>
      </c>
      <c r="J1112" s="525">
        <v>330</v>
      </c>
    </row>
    <row r="1113" spans="1:10" ht="14.25" x14ac:dyDescent="0.2">
      <c r="A1113" s="506"/>
      <c r="B1113" s="520"/>
      <c r="C1113" s="506">
        <v>132</v>
      </c>
      <c r="D1113" s="506"/>
      <c r="E1113" s="506" t="s">
        <v>520</v>
      </c>
      <c r="F1113" s="506"/>
      <c r="G1113" s="506">
        <v>210</v>
      </c>
      <c r="H1113" s="506" t="s">
        <v>543</v>
      </c>
      <c r="I1113" s="506" t="s">
        <v>519</v>
      </c>
      <c r="J1113" s="525">
        <v>97</v>
      </c>
    </row>
    <row r="1114" spans="1:10" ht="14.25" x14ac:dyDescent="0.2">
      <c r="A1114" s="506"/>
      <c r="B1114" s="520"/>
      <c r="C1114" s="506">
        <v>132</v>
      </c>
      <c r="D1114" s="506"/>
      <c r="E1114" s="506" t="s">
        <v>516</v>
      </c>
      <c r="F1114" s="506"/>
      <c r="G1114" s="506">
        <v>210</v>
      </c>
      <c r="H1114" s="506" t="s">
        <v>612</v>
      </c>
      <c r="I1114" s="506" t="s">
        <v>519</v>
      </c>
      <c r="J1114" s="525">
        <v>-427</v>
      </c>
    </row>
    <row r="1115" spans="1:10" s="514" customFormat="1" ht="14.25" x14ac:dyDescent="0.2">
      <c r="A1115" s="522"/>
      <c r="B1115" s="522"/>
      <c r="C1115" s="522">
        <v>132</v>
      </c>
      <c r="D1115" s="522"/>
      <c r="E1115" s="522"/>
      <c r="F1115" s="522"/>
      <c r="G1115" s="522">
        <v>210</v>
      </c>
      <c r="H1115" s="522"/>
      <c r="I1115" s="522"/>
      <c r="J1115" s="531">
        <f>SUM(J1112:J1114)</f>
        <v>0</v>
      </c>
    </row>
    <row r="1116" spans="1:10" ht="14.25" x14ac:dyDescent="0.2">
      <c r="A1116" s="506"/>
      <c r="B1116" s="506"/>
      <c r="C1116" s="506">
        <v>132</v>
      </c>
      <c r="D1116" s="506"/>
      <c r="E1116" s="506" t="s">
        <v>520</v>
      </c>
      <c r="F1116" s="506"/>
      <c r="G1116" s="506">
        <v>170</v>
      </c>
      <c r="H1116" s="506" t="s">
        <v>542</v>
      </c>
      <c r="I1116" s="506" t="s">
        <v>519</v>
      </c>
      <c r="J1116" s="525">
        <v>578</v>
      </c>
    </row>
    <row r="1117" spans="1:10" ht="14.25" x14ac:dyDescent="0.2">
      <c r="A1117" s="506"/>
      <c r="B1117" s="506"/>
      <c r="C1117" s="506">
        <v>132</v>
      </c>
      <c r="D1117" s="506"/>
      <c r="E1117" s="506" t="s">
        <v>520</v>
      </c>
      <c r="F1117" s="506"/>
      <c r="G1117" s="506">
        <v>170</v>
      </c>
      <c r="H1117" s="506" t="s">
        <v>543</v>
      </c>
      <c r="I1117" s="506" t="s">
        <v>519</v>
      </c>
      <c r="J1117" s="525">
        <v>193</v>
      </c>
    </row>
    <row r="1118" spans="1:10" ht="14.25" x14ac:dyDescent="0.2">
      <c r="A1118" s="506"/>
      <c r="B1118" s="506"/>
      <c r="C1118" s="506">
        <v>132</v>
      </c>
      <c r="D1118" s="506"/>
      <c r="E1118" s="506" t="s">
        <v>516</v>
      </c>
      <c r="F1118" s="506"/>
      <c r="G1118" s="506">
        <v>170</v>
      </c>
      <c r="H1118" s="506" t="s">
        <v>522</v>
      </c>
      <c r="I1118" s="506" t="s">
        <v>519</v>
      </c>
      <c r="J1118" s="525">
        <v>-771</v>
      </c>
    </row>
    <row r="1119" spans="1:10" s="514" customFormat="1" ht="14.25" x14ac:dyDescent="0.2">
      <c r="A1119" s="522"/>
      <c r="B1119" s="522"/>
      <c r="C1119" s="522">
        <v>132</v>
      </c>
      <c r="D1119" s="522"/>
      <c r="E1119" s="522"/>
      <c r="F1119" s="522"/>
      <c r="G1119" s="522">
        <v>170</v>
      </c>
      <c r="H1119" s="522"/>
      <c r="I1119" s="522"/>
      <c r="J1119" s="531">
        <f>SUM(J1116:J1118)</f>
        <v>0</v>
      </c>
    </row>
    <row r="1120" spans="1:10" ht="14.25" x14ac:dyDescent="0.2">
      <c r="A1120" s="506"/>
      <c r="B1120" s="520"/>
      <c r="C1120" s="506">
        <v>132</v>
      </c>
      <c r="D1120" s="506"/>
      <c r="E1120" s="506" t="s">
        <v>520</v>
      </c>
      <c r="F1120" s="506"/>
      <c r="G1120" s="506">
        <v>150</v>
      </c>
      <c r="H1120" s="506" t="s">
        <v>542</v>
      </c>
      <c r="I1120" s="506" t="s">
        <v>519</v>
      </c>
      <c r="J1120" s="525">
        <v>258</v>
      </c>
    </row>
    <row r="1121" spans="1:10" ht="14.25" x14ac:dyDescent="0.2">
      <c r="A1121" s="506"/>
      <c r="B1121" s="520"/>
      <c r="C1121" s="506">
        <v>132</v>
      </c>
      <c r="D1121" s="506"/>
      <c r="E1121" s="506" t="s">
        <v>520</v>
      </c>
      <c r="F1121" s="506"/>
      <c r="G1121" s="506">
        <v>150</v>
      </c>
      <c r="H1121" s="506" t="s">
        <v>543</v>
      </c>
      <c r="I1121" s="506" t="s">
        <v>519</v>
      </c>
      <c r="J1121" s="525">
        <v>86</v>
      </c>
    </row>
    <row r="1122" spans="1:10" ht="14.25" x14ac:dyDescent="0.2">
      <c r="A1122" s="506"/>
      <c r="B1122" s="520"/>
      <c r="C1122" s="506">
        <v>132</v>
      </c>
      <c r="D1122" s="506"/>
      <c r="E1122" s="506" t="s">
        <v>516</v>
      </c>
      <c r="F1122" s="506"/>
      <c r="G1122" s="506">
        <v>150</v>
      </c>
      <c r="H1122" s="506" t="s">
        <v>612</v>
      </c>
      <c r="I1122" s="506" t="s">
        <v>519</v>
      </c>
      <c r="J1122" s="525">
        <v>-344</v>
      </c>
    </row>
    <row r="1123" spans="1:10" s="514" customFormat="1" ht="14.25" x14ac:dyDescent="0.2">
      <c r="A1123" s="522"/>
      <c r="B1123" s="522"/>
      <c r="C1123" s="522">
        <v>132</v>
      </c>
      <c r="D1123" s="522"/>
      <c r="E1123" s="522"/>
      <c r="F1123" s="522"/>
      <c r="G1123" s="522">
        <v>150</v>
      </c>
      <c r="H1123" s="522"/>
      <c r="I1123" s="522"/>
      <c r="J1123" s="531">
        <f>SUM(J1120:J1122)</f>
        <v>0</v>
      </c>
    </row>
    <row r="1124" spans="1:10" ht="14.25" x14ac:dyDescent="0.2">
      <c r="A1124" s="506"/>
      <c r="B1124" s="520"/>
      <c r="C1124" s="506">
        <v>132</v>
      </c>
      <c r="D1124" s="506"/>
      <c r="E1124" s="506" t="s">
        <v>520</v>
      </c>
      <c r="F1124" s="506"/>
      <c r="G1124" s="506">
        <v>130</v>
      </c>
      <c r="H1124" s="506" t="s">
        <v>705</v>
      </c>
      <c r="I1124" s="506" t="s">
        <v>519</v>
      </c>
      <c r="J1124" s="525">
        <v>519</v>
      </c>
    </row>
    <row r="1125" spans="1:10" ht="14.25" x14ac:dyDescent="0.2">
      <c r="A1125" s="506"/>
      <c r="B1125" s="520"/>
      <c r="C1125" s="506">
        <v>132</v>
      </c>
      <c r="D1125" s="506"/>
      <c r="E1125" s="506" t="s">
        <v>516</v>
      </c>
      <c r="F1125" s="506"/>
      <c r="G1125" s="506">
        <v>130</v>
      </c>
      <c r="H1125" s="506" t="s">
        <v>552</v>
      </c>
      <c r="I1125" s="506" t="s">
        <v>519</v>
      </c>
      <c r="J1125" s="525">
        <v>-1</v>
      </c>
    </row>
    <row r="1126" spans="1:10" ht="14.25" x14ac:dyDescent="0.2">
      <c r="A1126" s="506"/>
      <c r="B1126" s="520"/>
      <c r="C1126" s="506">
        <v>132</v>
      </c>
      <c r="D1126" s="506"/>
      <c r="E1126" s="506" t="s">
        <v>516</v>
      </c>
      <c r="F1126" s="506"/>
      <c r="G1126" s="506">
        <v>130</v>
      </c>
      <c r="H1126" s="506" t="s">
        <v>551</v>
      </c>
      <c r="I1126" s="506" t="s">
        <v>519</v>
      </c>
      <c r="J1126" s="525">
        <v>-1</v>
      </c>
    </row>
    <row r="1127" spans="1:10" ht="14.25" x14ac:dyDescent="0.2">
      <c r="A1127" s="506"/>
      <c r="B1127" s="520"/>
      <c r="C1127" s="506">
        <v>132</v>
      </c>
      <c r="D1127" s="506"/>
      <c r="E1127" s="506" t="s">
        <v>516</v>
      </c>
      <c r="F1127" s="506"/>
      <c r="G1127" s="506">
        <v>130</v>
      </c>
      <c r="H1127" s="506" t="s">
        <v>774</v>
      </c>
      <c r="I1127" s="506" t="s">
        <v>519</v>
      </c>
      <c r="J1127" s="525">
        <v>-149</v>
      </c>
    </row>
    <row r="1128" spans="1:10" ht="14.25" x14ac:dyDescent="0.2">
      <c r="A1128" s="506"/>
      <c r="B1128" s="520"/>
      <c r="C1128" s="506">
        <v>132</v>
      </c>
      <c r="D1128" s="506"/>
      <c r="E1128" s="506" t="s">
        <v>516</v>
      </c>
      <c r="F1128" s="506"/>
      <c r="G1128" s="506">
        <v>130</v>
      </c>
      <c r="H1128" s="506" t="s">
        <v>775</v>
      </c>
      <c r="I1128" s="506" t="s">
        <v>519</v>
      </c>
      <c r="J1128" s="525">
        <v>-259</v>
      </c>
    </row>
    <row r="1129" spans="1:10" ht="14.25" x14ac:dyDescent="0.2">
      <c r="A1129" s="506"/>
      <c r="B1129" s="520"/>
      <c r="C1129" s="506">
        <v>132</v>
      </c>
      <c r="D1129" s="506"/>
      <c r="E1129" s="506" t="s">
        <v>516</v>
      </c>
      <c r="F1129" s="506"/>
      <c r="G1129" s="506">
        <v>130</v>
      </c>
      <c r="H1129" s="506" t="s">
        <v>776</v>
      </c>
      <c r="I1129" s="506" t="s">
        <v>519</v>
      </c>
      <c r="J1129" s="525">
        <v>-109</v>
      </c>
    </row>
    <row r="1130" spans="1:10" ht="14.25" x14ac:dyDescent="0.2">
      <c r="A1130" s="506"/>
      <c r="B1130" s="506"/>
      <c r="C1130" s="506">
        <v>132</v>
      </c>
      <c r="D1130" s="506"/>
      <c r="E1130" s="506" t="s">
        <v>520</v>
      </c>
      <c r="F1130" s="506"/>
      <c r="G1130" s="506">
        <v>130</v>
      </c>
      <c r="H1130" s="506" t="s">
        <v>539</v>
      </c>
      <c r="I1130" s="506" t="s">
        <v>519</v>
      </c>
      <c r="J1130" s="525">
        <v>54</v>
      </c>
    </row>
    <row r="1131" spans="1:10" ht="14.25" x14ac:dyDescent="0.2">
      <c r="A1131" s="506"/>
      <c r="B1131" s="506"/>
      <c r="C1131" s="506">
        <v>132</v>
      </c>
      <c r="D1131" s="506"/>
      <c r="E1131" s="506" t="s">
        <v>516</v>
      </c>
      <c r="F1131" s="506"/>
      <c r="G1131" s="506">
        <v>130</v>
      </c>
      <c r="H1131" s="506" t="s">
        <v>745</v>
      </c>
      <c r="I1131" s="506" t="s">
        <v>519</v>
      </c>
      <c r="J1131" s="525">
        <v>-54</v>
      </c>
    </row>
    <row r="1132" spans="1:10" s="514" customFormat="1" ht="14.25" x14ac:dyDescent="0.2">
      <c r="A1132" s="522"/>
      <c r="B1132" s="522"/>
      <c r="C1132" s="522">
        <v>132</v>
      </c>
      <c r="D1132" s="522"/>
      <c r="E1132" s="522"/>
      <c r="F1132" s="522"/>
      <c r="G1132" s="522">
        <v>130</v>
      </c>
      <c r="H1132" s="522"/>
      <c r="I1132" s="522"/>
      <c r="J1132" s="531">
        <f>SUM(J1124:J1131)</f>
        <v>0</v>
      </c>
    </row>
    <row r="1133" spans="1:10" ht="14.25" x14ac:dyDescent="0.2">
      <c r="A1133" s="506"/>
      <c r="B1133" s="520"/>
      <c r="C1133" s="506">
        <v>132</v>
      </c>
      <c r="D1133" s="506"/>
      <c r="E1133" s="506" t="s">
        <v>520</v>
      </c>
      <c r="F1133" s="506"/>
      <c r="G1133" s="506">
        <v>100</v>
      </c>
      <c r="H1133" s="506" t="s">
        <v>705</v>
      </c>
      <c r="I1133" s="506" t="s">
        <v>519</v>
      </c>
      <c r="J1133" s="525">
        <v>76</v>
      </c>
    </row>
    <row r="1134" spans="1:10" ht="14.25" x14ac:dyDescent="0.2">
      <c r="A1134" s="506"/>
      <c r="B1134" s="520"/>
      <c r="C1134" s="506">
        <v>132</v>
      </c>
      <c r="D1134" s="506"/>
      <c r="E1134" s="506" t="s">
        <v>516</v>
      </c>
      <c r="F1134" s="506"/>
      <c r="G1134" s="506">
        <v>100</v>
      </c>
      <c r="H1134" s="506" t="s">
        <v>777</v>
      </c>
      <c r="I1134" s="506" t="s">
        <v>519</v>
      </c>
      <c r="J1134" s="525">
        <v>-76</v>
      </c>
    </row>
    <row r="1135" spans="1:10" s="514" customFormat="1" ht="14.25" x14ac:dyDescent="0.2">
      <c r="A1135" s="522"/>
      <c r="B1135" s="522"/>
      <c r="C1135" s="522">
        <v>132</v>
      </c>
      <c r="D1135" s="522"/>
      <c r="E1135" s="522"/>
      <c r="F1135" s="522"/>
      <c r="G1135" s="522">
        <v>100</v>
      </c>
      <c r="H1135" s="522"/>
      <c r="I1135" s="522"/>
      <c r="J1135" s="531">
        <f>SUM(J1133:J1134)</f>
        <v>0</v>
      </c>
    </row>
    <row r="1136" spans="1:10" ht="14.25" x14ac:dyDescent="0.2">
      <c r="A1136" s="506"/>
      <c r="B1136" s="520"/>
      <c r="C1136" s="506">
        <v>132</v>
      </c>
      <c r="D1136" s="506"/>
      <c r="E1136" s="506" t="s">
        <v>520</v>
      </c>
      <c r="F1136" s="506"/>
      <c r="G1136" s="506">
        <v>20</v>
      </c>
      <c r="H1136" s="506" t="s">
        <v>705</v>
      </c>
      <c r="I1136" s="506" t="s">
        <v>519</v>
      </c>
      <c r="J1136" s="525">
        <v>1280</v>
      </c>
    </row>
    <row r="1137" spans="1:10" ht="14.25" x14ac:dyDescent="0.2">
      <c r="A1137" s="506"/>
      <c r="B1137" s="520"/>
      <c r="C1137" s="506">
        <v>132</v>
      </c>
      <c r="D1137" s="506"/>
      <c r="E1137" s="506" t="s">
        <v>520</v>
      </c>
      <c r="F1137" s="506"/>
      <c r="G1137" s="506">
        <v>20</v>
      </c>
      <c r="H1137" s="506" t="s">
        <v>778</v>
      </c>
      <c r="I1137" s="506" t="s">
        <v>519</v>
      </c>
      <c r="J1137" s="525">
        <v>160</v>
      </c>
    </row>
    <row r="1138" spans="1:10" ht="14.25" x14ac:dyDescent="0.2">
      <c r="A1138" s="506"/>
      <c r="B1138" s="520"/>
      <c r="C1138" s="506">
        <v>132</v>
      </c>
      <c r="D1138" s="506"/>
      <c r="E1138" s="506" t="s">
        <v>516</v>
      </c>
      <c r="F1138" s="506"/>
      <c r="G1138" s="506">
        <v>20</v>
      </c>
      <c r="H1138" s="506" t="s">
        <v>522</v>
      </c>
      <c r="I1138" s="506" t="s">
        <v>519</v>
      </c>
      <c r="J1138" s="525">
        <v>-1440</v>
      </c>
    </row>
    <row r="1139" spans="1:10" s="514" customFormat="1" ht="15" thickBot="1" x14ac:dyDescent="0.25">
      <c r="A1139" s="614" t="s">
        <v>779</v>
      </c>
      <c r="B1139" s="615"/>
      <c r="C1139" s="615">
        <v>132</v>
      </c>
      <c r="D1139" s="615"/>
      <c r="E1139" s="615"/>
      <c r="F1139" s="615"/>
      <c r="G1139" s="615">
        <v>20</v>
      </c>
      <c r="H1139" s="615"/>
      <c r="I1139" s="615"/>
      <c r="J1139" s="616">
        <f>SUM(J1136:J1138)</f>
        <v>0</v>
      </c>
    </row>
    <row r="1140" spans="1:10" ht="14.25" x14ac:dyDescent="0.2">
      <c r="A1140" s="612"/>
      <c r="B1140" s="617"/>
    </row>
    <row r="1141" spans="1:10" ht="14.25" x14ac:dyDescent="0.2">
      <c r="A1141" s="612"/>
      <c r="B1141" s="617"/>
      <c r="J1141" s="618"/>
    </row>
    <row r="1142" spans="1:10" ht="14.25" x14ac:dyDescent="0.2">
      <c r="A1142" s="612"/>
      <c r="B1142" s="617"/>
    </row>
    <row r="1143" spans="1:10" ht="14.25" x14ac:dyDescent="0.2">
      <c r="A1143" s="612"/>
      <c r="B1143" s="612"/>
    </row>
    <row r="1144" spans="1:10" x14ac:dyDescent="0.2">
      <c r="J1144" s="618"/>
    </row>
    <row r="1145" spans="1:10" x14ac:dyDescent="0.2">
      <c r="J1145" s="618"/>
    </row>
    <row r="1146" spans="1:10" x14ac:dyDescent="0.2">
      <c r="J1146" s="618"/>
    </row>
    <row r="1147" spans="1:10" x14ac:dyDescent="0.2">
      <c r="J1147" s="618"/>
    </row>
    <row r="1148" spans="1:10" x14ac:dyDescent="0.2">
      <c r="J1148" s="618"/>
    </row>
    <row r="1149" spans="1:10" x14ac:dyDescent="0.2">
      <c r="J1149" s="618"/>
    </row>
    <row r="1150" spans="1:10" x14ac:dyDescent="0.2">
      <c r="J1150" s="618"/>
    </row>
    <row r="1151" spans="1:10" x14ac:dyDescent="0.2">
      <c r="J1151" s="618"/>
    </row>
    <row r="1152" spans="1:10" x14ac:dyDescent="0.2">
      <c r="J1152" s="618"/>
    </row>
    <row r="1153" spans="10:10" x14ac:dyDescent="0.2">
      <c r="J1153" s="618"/>
    </row>
    <row r="1154" spans="10:10" x14ac:dyDescent="0.2">
      <c r="J1154" s="618"/>
    </row>
    <row r="1155" spans="10:10" x14ac:dyDescent="0.2">
      <c r="J1155" s="618"/>
    </row>
    <row r="1156" spans="10:10" x14ac:dyDescent="0.2">
      <c r="J1156" s="618"/>
    </row>
    <row r="1157" spans="10:10" x14ac:dyDescent="0.2">
      <c r="J1157" s="618"/>
    </row>
    <row r="1158" spans="10:10" x14ac:dyDescent="0.2">
      <c r="J1158" s="618"/>
    </row>
    <row r="1159" spans="10:10" x14ac:dyDescent="0.2">
      <c r="J1159" s="618"/>
    </row>
    <row r="1160" spans="10:10" x14ac:dyDescent="0.2">
      <c r="J1160" s="618"/>
    </row>
    <row r="1161" spans="10:10" x14ac:dyDescent="0.2">
      <c r="J1161" s="618"/>
    </row>
  </sheetData>
  <printOptions horizontalCentered="1"/>
  <pageMargins left="0" right="0" top="0.39370078740157483" bottom="0.39370078740157483" header="0" footer="0"/>
  <pageSetup paperSize="9" scale="63" fitToHeight="13" orientation="portrait" horizont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35"/>
  <sheetViews>
    <sheetView workbookViewId="0">
      <selection activeCell="B39" sqref="B39"/>
    </sheetView>
  </sheetViews>
  <sheetFormatPr defaultRowHeight="14.25" customHeight="1" x14ac:dyDescent="0.2"/>
  <cols>
    <col min="1" max="1" width="7" style="1" customWidth="1"/>
    <col min="2" max="2" width="70.7109375" style="1" customWidth="1"/>
    <col min="3" max="14" width="11.7109375" style="1" customWidth="1"/>
    <col min="15" max="15" width="14.7109375" style="1" customWidth="1"/>
    <col min="16" max="16" width="16.28515625" style="1" customWidth="1"/>
    <col min="17" max="16384" width="9.140625" style="1"/>
  </cols>
  <sheetData>
    <row r="3" spans="1:17" ht="14.25" customHeight="1" x14ac:dyDescent="0.2">
      <c r="A3" s="76" t="s">
        <v>88</v>
      </c>
    </row>
    <row r="4" spans="1:17" ht="14.25" customHeight="1" x14ac:dyDescent="0.2">
      <c r="O4" s="2" t="s">
        <v>3</v>
      </c>
    </row>
    <row r="5" spans="1:17" ht="33.75" customHeight="1" x14ac:dyDescent="0.2">
      <c r="A5" s="14" t="s">
        <v>57</v>
      </c>
      <c r="B5" s="6" t="s">
        <v>1</v>
      </c>
      <c r="C5" s="15" t="s">
        <v>71</v>
      </c>
      <c r="D5" s="15" t="s">
        <v>72</v>
      </c>
      <c r="E5" s="15" t="s">
        <v>91</v>
      </c>
      <c r="F5" s="15" t="s">
        <v>92</v>
      </c>
      <c r="G5" s="15" t="s">
        <v>93</v>
      </c>
      <c r="H5" s="15" t="s">
        <v>94</v>
      </c>
      <c r="I5" s="15" t="s">
        <v>96</v>
      </c>
      <c r="J5" s="15" t="s">
        <v>97</v>
      </c>
      <c r="K5" s="15" t="s">
        <v>99</v>
      </c>
      <c r="L5" s="15" t="s">
        <v>100</v>
      </c>
      <c r="M5" s="15" t="s">
        <v>159</v>
      </c>
      <c r="N5" s="15" t="s">
        <v>161</v>
      </c>
      <c r="O5" s="15" t="s">
        <v>163</v>
      </c>
    </row>
    <row r="6" spans="1:17" ht="18.75" customHeight="1" x14ac:dyDescent="0.2">
      <c r="A6" s="3"/>
      <c r="B6" s="11" t="s">
        <v>84</v>
      </c>
      <c r="C6" s="77">
        <f t="shared" ref="C6:D6" si="0">+C9+C10+C11+C12+C13+C14+C15+C16+C17+C18+C19+C20</f>
        <v>526264</v>
      </c>
      <c r="D6" s="77">
        <f t="shared" si="0"/>
        <v>506612</v>
      </c>
      <c r="E6" s="77">
        <f t="shared" ref="E6:J6" si="1">+E9+E10+E11+E12+E13+E14+E15+E16+E17+E18+E19+E20</f>
        <v>499852</v>
      </c>
      <c r="F6" s="77">
        <f t="shared" si="1"/>
        <v>508781</v>
      </c>
      <c r="G6" s="77">
        <f t="shared" si="1"/>
        <v>519666</v>
      </c>
      <c r="H6" s="77">
        <f t="shared" si="1"/>
        <v>532430</v>
      </c>
      <c r="I6" s="77">
        <f t="shared" si="1"/>
        <v>557906</v>
      </c>
      <c r="J6" s="77">
        <f t="shared" si="1"/>
        <v>521670</v>
      </c>
      <c r="K6" s="77">
        <f t="shared" ref="K6:L6" si="2">+K9+K10+K11+K12+K13+K14+K15+K16+K17+K18+K19+K20</f>
        <v>530740</v>
      </c>
      <c r="L6" s="77">
        <f t="shared" si="2"/>
        <v>542835</v>
      </c>
      <c r="M6" s="77">
        <f t="shared" ref="M6:N6" si="3">+M9+M10+M11+M12+M13+M14+M15+M16+M17+M18+M19+M20</f>
        <v>526654</v>
      </c>
      <c r="N6" s="77">
        <f t="shared" si="3"/>
        <v>653283</v>
      </c>
      <c r="O6" s="77">
        <f>SUM(C6:N6)</f>
        <v>6426693</v>
      </c>
      <c r="P6" s="9"/>
    </row>
    <row r="7" spans="1:17" ht="18.75" customHeight="1" x14ac:dyDescent="0.2">
      <c r="A7" s="4"/>
      <c r="B7" s="11" t="s">
        <v>85</v>
      </c>
      <c r="C7" s="77">
        <f>+C9+C10+C11+C14+C15+C16+C18+C19+C20</f>
        <v>494144</v>
      </c>
      <c r="D7" s="77">
        <f t="shared" ref="D7:E7" si="4">+D9+D10+D11+D14+D15+D16+D18+D19+D20</f>
        <v>487299</v>
      </c>
      <c r="E7" s="77">
        <f t="shared" si="4"/>
        <v>478942</v>
      </c>
      <c r="F7" s="77">
        <f t="shared" ref="F7:G7" si="5">+F9+F10+F11+F14+F15+F16+F18+F19+F20</f>
        <v>486983</v>
      </c>
      <c r="G7" s="77">
        <f t="shared" si="5"/>
        <v>501388</v>
      </c>
      <c r="H7" s="77">
        <f t="shared" ref="H7:I7" si="6">+H9+H10+H11+H14+H15+H16+H18+H19+H20</f>
        <v>511512</v>
      </c>
      <c r="I7" s="77">
        <f t="shared" si="6"/>
        <v>537222</v>
      </c>
      <c r="J7" s="77">
        <f t="shared" ref="J7:K7" si="7">+J9+J10+J11+J14+J15+J16+J18+J19+J20</f>
        <v>504156</v>
      </c>
      <c r="K7" s="77">
        <f t="shared" si="7"/>
        <v>510512</v>
      </c>
      <c r="L7" s="77">
        <f t="shared" ref="L7:M7" si="8">+L9+L10+L11+L14+L15+L16+L18+L19+L20</f>
        <v>521879</v>
      </c>
      <c r="M7" s="77">
        <f t="shared" si="8"/>
        <v>509468</v>
      </c>
      <c r="N7" s="77">
        <f t="shared" ref="N7" si="9">+N9+N10+N11+N14+N15+N16+N18+N19+N20</f>
        <v>633184</v>
      </c>
      <c r="O7" s="77">
        <f t="shared" ref="O7:O20" si="10">SUM(C7:N7)</f>
        <v>6176689</v>
      </c>
      <c r="P7" s="9"/>
      <c r="Q7" s="5"/>
    </row>
    <row r="8" spans="1:17" ht="18.75" customHeight="1" x14ac:dyDescent="0.2">
      <c r="A8" s="4"/>
      <c r="B8" s="87" t="s">
        <v>70</v>
      </c>
      <c r="C8" s="88">
        <f t="shared" ref="C8" si="11">+C9+C10+C11+C12+C13+C14+C18</f>
        <v>503984</v>
      </c>
      <c r="D8" s="88">
        <f t="shared" ref="D8:I8" si="12">+D9+D10+D11+D12+D13+D14+D18</f>
        <v>481528</v>
      </c>
      <c r="E8" s="88">
        <f t="shared" si="12"/>
        <v>475858</v>
      </c>
      <c r="F8" s="88">
        <f t="shared" si="12"/>
        <v>496840</v>
      </c>
      <c r="G8" s="88">
        <f t="shared" si="12"/>
        <v>503765</v>
      </c>
      <c r="H8" s="88">
        <f t="shared" si="12"/>
        <v>507774</v>
      </c>
      <c r="I8" s="88">
        <f t="shared" si="12"/>
        <v>535491</v>
      </c>
      <c r="J8" s="88">
        <f t="shared" ref="J8:K8" si="13">+J9+J10+J11+J12+J13+J14+J18</f>
        <v>500166</v>
      </c>
      <c r="K8" s="88">
        <f t="shared" si="13"/>
        <v>506783</v>
      </c>
      <c r="L8" s="88">
        <f t="shared" ref="L8:M8" si="14">+L9+L10+L11+L12+L13+L14+L18</f>
        <v>523153</v>
      </c>
      <c r="M8" s="88">
        <f t="shared" si="14"/>
        <v>505122</v>
      </c>
      <c r="N8" s="88">
        <f t="shared" ref="N8" si="15">+N9+N10+N11+N12+N13+N14+N18</f>
        <v>634410</v>
      </c>
      <c r="O8" s="88">
        <f t="shared" si="10"/>
        <v>6174874</v>
      </c>
      <c r="P8" s="9"/>
    </row>
    <row r="9" spans="1:17" ht="18.75" customHeight="1" x14ac:dyDescent="0.2">
      <c r="A9" s="6" t="s">
        <v>58</v>
      </c>
      <c r="B9" s="7" t="s">
        <v>59</v>
      </c>
      <c r="C9" s="77">
        <v>447184</v>
      </c>
      <c r="D9" s="77">
        <v>438208</v>
      </c>
      <c r="E9" s="77">
        <v>429269</v>
      </c>
      <c r="F9" s="77">
        <v>449247</v>
      </c>
      <c r="G9" s="77">
        <v>459193</v>
      </c>
      <c r="H9" s="77">
        <v>462320</v>
      </c>
      <c r="I9" s="77">
        <v>489272</v>
      </c>
      <c r="J9" s="77">
        <v>453597</v>
      </c>
      <c r="K9" s="77">
        <v>458862</v>
      </c>
      <c r="L9" s="77">
        <v>472938</v>
      </c>
      <c r="M9" s="77">
        <v>458245</v>
      </c>
      <c r="N9" s="77">
        <v>583694</v>
      </c>
      <c r="O9" s="77">
        <f t="shared" si="10"/>
        <v>5602029</v>
      </c>
      <c r="P9" s="9"/>
      <c r="Q9" s="5"/>
    </row>
    <row r="10" spans="1:17" ht="18.75" customHeight="1" x14ac:dyDescent="0.2">
      <c r="A10" s="6" t="s">
        <v>60</v>
      </c>
      <c r="B10" s="7" t="s">
        <v>61</v>
      </c>
      <c r="C10" s="77">
        <v>24121</v>
      </c>
      <c r="D10" s="77">
        <v>24643</v>
      </c>
      <c r="E10" s="77">
        <v>24967</v>
      </c>
      <c r="F10" s="77">
        <v>25290</v>
      </c>
      <c r="G10" s="77">
        <v>25688</v>
      </c>
      <c r="H10" s="77">
        <v>25716</v>
      </c>
      <c r="I10" s="77">
        <v>26214</v>
      </c>
      <c r="J10" s="77">
        <v>27739</v>
      </c>
      <c r="K10" s="77">
        <v>27698</v>
      </c>
      <c r="L10" s="77">
        <v>28400</v>
      </c>
      <c r="M10" s="77">
        <v>28027</v>
      </c>
      <c r="N10" s="77">
        <v>30757</v>
      </c>
      <c r="O10" s="77">
        <f t="shared" si="10"/>
        <v>319260</v>
      </c>
      <c r="P10" s="10"/>
      <c r="Q10" s="5"/>
    </row>
    <row r="11" spans="1:17" ht="18.75" customHeight="1" x14ac:dyDescent="0.2">
      <c r="A11" s="6" t="s">
        <v>62</v>
      </c>
      <c r="B11" s="7" t="s">
        <v>63</v>
      </c>
      <c r="C11" s="77">
        <v>1271</v>
      </c>
      <c r="D11" s="77">
        <v>1245</v>
      </c>
      <c r="E11" s="77">
        <v>1259</v>
      </c>
      <c r="F11" s="77">
        <v>1240</v>
      </c>
      <c r="G11" s="77">
        <v>1259</v>
      </c>
      <c r="H11" s="77">
        <v>1272</v>
      </c>
      <c r="I11" s="77">
        <v>1261</v>
      </c>
      <c r="J11" s="77">
        <v>1111</v>
      </c>
      <c r="K11" s="77">
        <v>1100</v>
      </c>
      <c r="L11" s="77">
        <v>1058</v>
      </c>
      <c r="M11" s="77">
        <v>1155</v>
      </c>
      <c r="N11" s="77">
        <v>1122</v>
      </c>
      <c r="O11" s="77">
        <f t="shared" si="10"/>
        <v>14353</v>
      </c>
      <c r="P11" s="10"/>
      <c r="Q11" s="5"/>
    </row>
    <row r="12" spans="1:17" ht="18.75" customHeight="1" x14ac:dyDescent="0.2">
      <c r="A12" s="6" t="s">
        <v>73</v>
      </c>
      <c r="B12" s="7" t="s">
        <v>83</v>
      </c>
      <c r="C12" s="77">
        <v>1252</v>
      </c>
      <c r="D12" s="77">
        <v>1128</v>
      </c>
      <c r="E12" s="77">
        <f>1114</f>
        <v>1114</v>
      </c>
      <c r="F12" s="77">
        <v>1189</v>
      </c>
      <c r="G12" s="77">
        <v>1305</v>
      </c>
      <c r="H12" s="77">
        <v>2033</v>
      </c>
      <c r="I12" s="77">
        <v>2090</v>
      </c>
      <c r="J12" s="77">
        <v>1535</v>
      </c>
      <c r="K12" s="77">
        <v>1573</v>
      </c>
      <c r="L12" s="77">
        <v>1560</v>
      </c>
      <c r="M12" s="77">
        <v>1301</v>
      </c>
      <c r="N12" s="77">
        <v>1380</v>
      </c>
      <c r="O12" s="77">
        <f t="shared" si="10"/>
        <v>17460</v>
      </c>
      <c r="P12" s="10"/>
      <c r="Q12" s="5"/>
    </row>
    <row r="13" spans="1:17" ht="18.75" customHeight="1" x14ac:dyDescent="0.2">
      <c r="A13" s="6" t="s">
        <v>74</v>
      </c>
      <c r="B13" s="7" t="s">
        <v>64</v>
      </c>
      <c r="C13" s="77">
        <v>29776</v>
      </c>
      <c r="D13" s="77">
        <v>15828</v>
      </c>
      <c r="E13" s="77">
        <v>18559</v>
      </c>
      <c r="F13" s="77">
        <v>18977</v>
      </c>
      <c r="G13" s="77">
        <v>16096</v>
      </c>
      <c r="H13" s="77">
        <v>15963</v>
      </c>
      <c r="I13" s="77">
        <v>16570</v>
      </c>
      <c r="J13" s="77">
        <v>15205</v>
      </c>
      <c r="K13" s="77">
        <v>17106</v>
      </c>
      <c r="L13" s="77">
        <v>18518</v>
      </c>
      <c r="M13" s="77">
        <v>15079</v>
      </c>
      <c r="N13" s="77">
        <v>17155</v>
      </c>
      <c r="O13" s="77">
        <f t="shared" si="10"/>
        <v>214832</v>
      </c>
      <c r="P13" s="10"/>
      <c r="Q13" s="5"/>
    </row>
    <row r="14" spans="1:17" ht="18.75" customHeight="1" x14ac:dyDescent="0.2">
      <c r="A14" s="6" t="s">
        <v>75</v>
      </c>
      <c r="B14" s="7" t="s">
        <v>65</v>
      </c>
      <c r="C14" s="77">
        <v>290</v>
      </c>
      <c r="D14" s="77">
        <v>382</v>
      </c>
      <c r="E14" s="77">
        <v>603</v>
      </c>
      <c r="F14" s="77">
        <v>804</v>
      </c>
      <c r="G14" s="77">
        <v>158</v>
      </c>
      <c r="H14" s="77">
        <v>412</v>
      </c>
      <c r="I14" s="77">
        <v>-30</v>
      </c>
      <c r="J14" s="77">
        <v>877</v>
      </c>
      <c r="K14" s="77">
        <v>360</v>
      </c>
      <c r="L14" s="77">
        <v>594</v>
      </c>
      <c r="M14" s="77">
        <v>1229</v>
      </c>
      <c r="N14" s="77">
        <v>234</v>
      </c>
      <c r="O14" s="77">
        <f t="shared" si="10"/>
        <v>5913</v>
      </c>
      <c r="P14" s="10"/>
      <c r="Q14" s="5"/>
    </row>
    <row r="15" spans="1:17" ht="18.75" customHeight="1" x14ac:dyDescent="0.2">
      <c r="A15" s="6" t="s">
        <v>76</v>
      </c>
      <c r="B15" s="7" t="s">
        <v>66</v>
      </c>
      <c r="C15" s="77">
        <v>20983</v>
      </c>
      <c r="D15" s="77">
        <v>22486</v>
      </c>
      <c r="E15" s="77">
        <v>22486</v>
      </c>
      <c r="F15" s="77">
        <v>10079</v>
      </c>
      <c r="G15" s="77">
        <v>14795</v>
      </c>
      <c r="H15" s="77">
        <v>21495</v>
      </c>
      <c r="I15" s="77">
        <v>20170</v>
      </c>
      <c r="J15" s="77">
        <v>20495</v>
      </c>
      <c r="K15" s="77">
        <v>22196</v>
      </c>
      <c r="L15" s="77">
        <v>18592</v>
      </c>
      <c r="M15" s="77">
        <v>20504</v>
      </c>
      <c r="N15" s="77">
        <v>17068</v>
      </c>
      <c r="O15" s="77">
        <f t="shared" si="10"/>
        <v>231349</v>
      </c>
      <c r="P15" s="10"/>
      <c r="Q15" s="5"/>
    </row>
    <row r="16" spans="1:17" ht="18.75" customHeight="1" x14ac:dyDescent="0.2">
      <c r="A16" s="6" t="s">
        <v>77</v>
      </c>
      <c r="B16" s="8" t="s">
        <v>67</v>
      </c>
      <c r="C16" s="77">
        <v>197</v>
      </c>
      <c r="D16" s="77">
        <v>230</v>
      </c>
      <c r="E16" s="77">
        <v>217</v>
      </c>
      <c r="F16" s="77">
        <v>220</v>
      </c>
      <c r="G16" s="77">
        <v>214</v>
      </c>
      <c r="H16" s="77">
        <v>233</v>
      </c>
      <c r="I16" s="77">
        <v>212</v>
      </c>
      <c r="J16" s="77">
        <v>226</v>
      </c>
      <c r="K16" s="77">
        <v>207</v>
      </c>
      <c r="L16" s="77">
        <v>208</v>
      </c>
      <c r="M16" s="77">
        <v>217</v>
      </c>
      <c r="N16" s="77">
        <v>232</v>
      </c>
      <c r="O16" s="77">
        <f t="shared" si="10"/>
        <v>2613</v>
      </c>
      <c r="P16" s="10"/>
      <c r="Q16" s="5"/>
    </row>
    <row r="17" spans="1:17" ht="18.75" customHeight="1" x14ac:dyDescent="0.2">
      <c r="A17" s="6" t="s">
        <v>78</v>
      </c>
      <c r="B17" s="7" t="s">
        <v>86</v>
      </c>
      <c r="C17" s="77">
        <v>1092</v>
      </c>
      <c r="D17" s="77">
        <v>2357</v>
      </c>
      <c r="E17" s="77">
        <f>1208+29</f>
        <v>1237</v>
      </c>
      <c r="F17" s="77">
        <v>1632</v>
      </c>
      <c r="G17" s="77">
        <v>877</v>
      </c>
      <c r="H17" s="77">
        <f>2913+9</f>
        <v>2922</v>
      </c>
      <c r="I17" s="77">
        <f>2019+5</f>
        <v>2024</v>
      </c>
      <c r="J17" s="77">
        <v>774</v>
      </c>
      <c r="K17" s="77">
        <f>1539+10</f>
        <v>1549</v>
      </c>
      <c r="L17" s="77">
        <v>878</v>
      </c>
      <c r="M17" s="77">
        <v>806</v>
      </c>
      <c r="N17" s="77">
        <v>1564</v>
      </c>
      <c r="O17" s="77">
        <f t="shared" si="10"/>
        <v>17712</v>
      </c>
      <c r="P17" s="10"/>
      <c r="Q17" s="5"/>
    </row>
    <row r="18" spans="1:17" ht="18.75" customHeight="1" x14ac:dyDescent="0.2">
      <c r="A18" s="6" t="s">
        <v>79</v>
      </c>
      <c r="B18" s="7" t="s">
        <v>68</v>
      </c>
      <c r="C18" s="77">
        <v>90</v>
      </c>
      <c r="D18" s="77">
        <v>94</v>
      </c>
      <c r="E18" s="77">
        <f>87</f>
        <v>87</v>
      </c>
      <c r="F18" s="77">
        <v>93</v>
      </c>
      <c r="G18" s="77">
        <v>66</v>
      </c>
      <c r="H18" s="77">
        <f>57+1</f>
        <v>58</v>
      </c>
      <c r="I18" s="77">
        <v>114</v>
      </c>
      <c r="J18" s="77">
        <f>100+2</f>
        <v>102</v>
      </c>
      <c r="K18" s="77">
        <f>83+1</f>
        <v>84</v>
      </c>
      <c r="L18" s="77">
        <f>83+2</f>
        <v>85</v>
      </c>
      <c r="M18" s="77">
        <f>83+3</f>
        <v>86</v>
      </c>
      <c r="N18" s="77">
        <f>68+0</f>
        <v>68</v>
      </c>
      <c r="O18" s="77">
        <f t="shared" si="10"/>
        <v>1027</v>
      </c>
      <c r="P18" s="10"/>
      <c r="Q18" s="5"/>
    </row>
    <row r="19" spans="1:17" ht="18.75" customHeight="1" x14ac:dyDescent="0.2">
      <c r="A19" s="6" t="s">
        <v>80</v>
      </c>
      <c r="B19" s="7" t="s">
        <v>69</v>
      </c>
      <c r="C19" s="77">
        <v>5</v>
      </c>
      <c r="D19" s="77">
        <v>5</v>
      </c>
      <c r="E19" s="77">
        <v>5</v>
      </c>
      <c r="F19" s="77">
        <v>5</v>
      </c>
      <c r="G19" s="77">
        <v>5</v>
      </c>
      <c r="H19" s="77">
        <v>4</v>
      </c>
      <c r="I19" s="77">
        <v>5</v>
      </c>
      <c r="J19" s="77">
        <v>5</v>
      </c>
      <c r="K19" s="77">
        <v>5</v>
      </c>
      <c r="L19" s="77">
        <v>4</v>
      </c>
      <c r="M19" s="77">
        <v>5</v>
      </c>
      <c r="N19" s="77">
        <v>5</v>
      </c>
      <c r="O19" s="77">
        <f t="shared" si="10"/>
        <v>58</v>
      </c>
      <c r="P19" s="10"/>
      <c r="Q19" s="5"/>
    </row>
    <row r="20" spans="1:17" ht="18.75" customHeight="1" x14ac:dyDescent="0.2">
      <c r="A20" s="6" t="s">
        <v>81</v>
      </c>
      <c r="B20" s="7" t="s">
        <v>82</v>
      </c>
      <c r="C20" s="78">
        <v>3</v>
      </c>
      <c r="D20" s="78">
        <v>6</v>
      </c>
      <c r="E20" s="78">
        <v>49</v>
      </c>
      <c r="F20" s="78">
        <v>5</v>
      </c>
      <c r="G20" s="78">
        <v>10</v>
      </c>
      <c r="H20" s="78">
        <v>2</v>
      </c>
      <c r="I20" s="77">
        <v>4</v>
      </c>
      <c r="J20" s="77">
        <v>4</v>
      </c>
      <c r="K20" s="77">
        <v>0</v>
      </c>
      <c r="L20" s="77">
        <v>0</v>
      </c>
      <c r="M20" s="77">
        <v>0</v>
      </c>
      <c r="N20" s="77">
        <v>4</v>
      </c>
      <c r="O20" s="77">
        <f t="shared" si="10"/>
        <v>87</v>
      </c>
      <c r="P20" s="9"/>
    </row>
    <row r="21" spans="1:17" ht="20.25" customHeight="1" x14ac:dyDescent="0.2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9"/>
    </row>
    <row r="22" spans="1:17" ht="14.25" customHeight="1" x14ac:dyDescent="0.2">
      <c r="B22" s="1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9"/>
    </row>
    <row r="23" spans="1:17" ht="14.25" customHeight="1" x14ac:dyDescent="0.2">
      <c r="B23" s="16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9"/>
    </row>
    <row r="24" spans="1:17" ht="14.25" customHeight="1" x14ac:dyDescent="0.2">
      <c r="C24" s="5"/>
      <c r="D24" s="5"/>
      <c r="E24" s="5"/>
      <c r="F24" s="5"/>
      <c r="G24" s="5"/>
      <c r="H24" s="5"/>
      <c r="I24" s="5"/>
    </row>
    <row r="25" spans="1:17" ht="14.25" customHeight="1" x14ac:dyDescent="0.2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7" ht="14.25" customHeight="1" x14ac:dyDescent="0.2">
      <c r="C26" s="5"/>
      <c r="O26" s="5"/>
    </row>
    <row r="27" spans="1:17" ht="14.25" customHeight="1" x14ac:dyDescent="0.2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7" ht="14.25" customHeight="1" x14ac:dyDescent="0.2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7" ht="14.25" customHeight="1" x14ac:dyDescent="0.2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7" ht="14.25" customHeight="1" x14ac:dyDescent="0.2">
      <c r="O30" s="5"/>
    </row>
    <row r="31" spans="1:17" ht="14.25" customHeight="1" x14ac:dyDescent="0.2">
      <c r="O31" s="5"/>
    </row>
    <row r="32" spans="1:17" ht="14.25" customHeight="1" x14ac:dyDescent="0.2">
      <c r="O32" s="5"/>
    </row>
    <row r="33" spans="15:15" ht="14.25" customHeight="1" x14ac:dyDescent="0.2">
      <c r="O33" s="5"/>
    </row>
    <row r="34" spans="15:15" ht="14.25" customHeight="1" x14ac:dyDescent="0.2">
      <c r="O34" s="5"/>
    </row>
    <row r="35" spans="15:15" ht="14.25" customHeight="1" x14ac:dyDescent="0.2">
      <c r="O35" s="5"/>
    </row>
  </sheetData>
  <phoneticPr fontId="34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2FED"/>
    <pageSetUpPr fitToPage="1"/>
  </sheetPr>
  <dimension ref="B2:N49"/>
  <sheetViews>
    <sheetView tabSelected="1" zoomScale="70" zoomScaleNormal="70" workbookViewId="0">
      <selection activeCell="L21" sqref="L21"/>
    </sheetView>
  </sheetViews>
  <sheetFormatPr defaultRowHeight="14.25" x14ac:dyDescent="0.2"/>
  <cols>
    <col min="1" max="1" width="8.140625" style="628" customWidth="1"/>
    <col min="2" max="2" width="25.140625" style="628" customWidth="1"/>
    <col min="3" max="3" width="20.28515625" style="628" customWidth="1"/>
    <col min="4" max="8" width="15.85546875" style="628" customWidth="1"/>
    <col min="9" max="9" width="16.7109375" style="628" customWidth="1"/>
    <col min="10" max="12" width="15.85546875" style="628" customWidth="1"/>
    <col min="13" max="13" width="16.85546875" style="628" customWidth="1"/>
    <col min="14" max="14" width="14.5703125" style="628" bestFit="1" customWidth="1"/>
    <col min="15" max="20" width="9.140625" style="628"/>
    <col min="21" max="21" width="9.28515625" style="628" bestFit="1" customWidth="1"/>
    <col min="22" max="22" width="11.140625" style="628" bestFit="1" customWidth="1"/>
    <col min="23" max="256" width="9.140625" style="628"/>
    <col min="257" max="257" width="8.140625" style="628" customWidth="1"/>
    <col min="258" max="258" width="25.140625" style="628" customWidth="1"/>
    <col min="259" max="268" width="15.85546875" style="628" customWidth="1"/>
    <col min="269" max="269" width="16.85546875" style="628" customWidth="1"/>
    <col min="270" max="270" width="14.5703125" style="628" bestFit="1" customWidth="1"/>
    <col min="271" max="276" width="9.140625" style="628"/>
    <col min="277" max="277" width="9.28515625" style="628" bestFit="1" customWidth="1"/>
    <col min="278" max="278" width="11.140625" style="628" bestFit="1" customWidth="1"/>
    <col min="279" max="512" width="9.140625" style="628"/>
    <col min="513" max="513" width="8.140625" style="628" customWidth="1"/>
    <col min="514" max="514" width="25.140625" style="628" customWidth="1"/>
    <col min="515" max="524" width="15.85546875" style="628" customWidth="1"/>
    <col min="525" max="525" width="16.85546875" style="628" customWidth="1"/>
    <col min="526" max="526" width="14.5703125" style="628" bestFit="1" customWidth="1"/>
    <col min="527" max="532" width="9.140625" style="628"/>
    <col min="533" max="533" width="9.28515625" style="628" bestFit="1" customWidth="1"/>
    <col min="534" max="534" width="11.140625" style="628" bestFit="1" customWidth="1"/>
    <col min="535" max="768" width="9.140625" style="628"/>
    <col min="769" max="769" width="8.140625" style="628" customWidth="1"/>
    <col min="770" max="770" width="25.140625" style="628" customWidth="1"/>
    <col min="771" max="780" width="15.85546875" style="628" customWidth="1"/>
    <col min="781" max="781" width="16.85546875" style="628" customWidth="1"/>
    <col min="782" max="782" width="14.5703125" style="628" bestFit="1" customWidth="1"/>
    <col min="783" max="788" width="9.140625" style="628"/>
    <col min="789" max="789" width="9.28515625" style="628" bestFit="1" customWidth="1"/>
    <col min="790" max="790" width="11.140625" style="628" bestFit="1" customWidth="1"/>
    <col min="791" max="1024" width="9.140625" style="628"/>
    <col min="1025" max="1025" width="8.140625" style="628" customWidth="1"/>
    <col min="1026" max="1026" width="25.140625" style="628" customWidth="1"/>
    <col min="1027" max="1036" width="15.85546875" style="628" customWidth="1"/>
    <col min="1037" max="1037" width="16.85546875" style="628" customWidth="1"/>
    <col min="1038" max="1038" width="14.5703125" style="628" bestFit="1" customWidth="1"/>
    <col min="1039" max="1044" width="9.140625" style="628"/>
    <col min="1045" max="1045" width="9.28515625" style="628" bestFit="1" customWidth="1"/>
    <col min="1046" max="1046" width="11.140625" style="628" bestFit="1" customWidth="1"/>
    <col min="1047" max="1280" width="9.140625" style="628"/>
    <col min="1281" max="1281" width="8.140625" style="628" customWidth="1"/>
    <col min="1282" max="1282" width="25.140625" style="628" customWidth="1"/>
    <col min="1283" max="1292" width="15.85546875" style="628" customWidth="1"/>
    <col min="1293" max="1293" width="16.85546875" style="628" customWidth="1"/>
    <col min="1294" max="1294" width="14.5703125" style="628" bestFit="1" customWidth="1"/>
    <col min="1295" max="1300" width="9.140625" style="628"/>
    <col min="1301" max="1301" width="9.28515625" style="628" bestFit="1" customWidth="1"/>
    <col min="1302" max="1302" width="11.140625" style="628" bestFit="1" customWidth="1"/>
    <col min="1303" max="1536" width="9.140625" style="628"/>
    <col min="1537" max="1537" width="8.140625" style="628" customWidth="1"/>
    <col min="1538" max="1538" width="25.140625" style="628" customWidth="1"/>
    <col min="1539" max="1548" width="15.85546875" style="628" customWidth="1"/>
    <col min="1549" max="1549" width="16.85546875" style="628" customWidth="1"/>
    <col min="1550" max="1550" width="14.5703125" style="628" bestFit="1" customWidth="1"/>
    <col min="1551" max="1556" width="9.140625" style="628"/>
    <col min="1557" max="1557" width="9.28515625" style="628" bestFit="1" customWidth="1"/>
    <col min="1558" max="1558" width="11.140625" style="628" bestFit="1" customWidth="1"/>
    <col min="1559" max="1792" width="9.140625" style="628"/>
    <col min="1793" max="1793" width="8.140625" style="628" customWidth="1"/>
    <col min="1794" max="1794" width="25.140625" style="628" customWidth="1"/>
    <col min="1795" max="1804" width="15.85546875" style="628" customWidth="1"/>
    <col min="1805" max="1805" width="16.85546875" style="628" customWidth="1"/>
    <col min="1806" max="1806" width="14.5703125" style="628" bestFit="1" customWidth="1"/>
    <col min="1807" max="1812" width="9.140625" style="628"/>
    <col min="1813" max="1813" width="9.28515625" style="628" bestFit="1" customWidth="1"/>
    <col min="1814" max="1814" width="11.140625" style="628" bestFit="1" customWidth="1"/>
    <col min="1815" max="2048" width="9.140625" style="628"/>
    <col min="2049" max="2049" width="8.140625" style="628" customWidth="1"/>
    <col min="2050" max="2050" width="25.140625" style="628" customWidth="1"/>
    <col min="2051" max="2060" width="15.85546875" style="628" customWidth="1"/>
    <col min="2061" max="2061" width="16.85546875" style="628" customWidth="1"/>
    <col min="2062" max="2062" width="14.5703125" style="628" bestFit="1" customWidth="1"/>
    <col min="2063" max="2068" width="9.140625" style="628"/>
    <col min="2069" max="2069" width="9.28515625" style="628" bestFit="1" customWidth="1"/>
    <col min="2070" max="2070" width="11.140625" style="628" bestFit="1" customWidth="1"/>
    <col min="2071" max="2304" width="9.140625" style="628"/>
    <col min="2305" max="2305" width="8.140625" style="628" customWidth="1"/>
    <col min="2306" max="2306" width="25.140625" style="628" customWidth="1"/>
    <col min="2307" max="2316" width="15.85546875" style="628" customWidth="1"/>
    <col min="2317" max="2317" width="16.85546875" style="628" customWidth="1"/>
    <col min="2318" max="2318" width="14.5703125" style="628" bestFit="1" customWidth="1"/>
    <col min="2319" max="2324" width="9.140625" style="628"/>
    <col min="2325" max="2325" width="9.28515625" style="628" bestFit="1" customWidth="1"/>
    <col min="2326" max="2326" width="11.140625" style="628" bestFit="1" customWidth="1"/>
    <col min="2327" max="2560" width="9.140625" style="628"/>
    <col min="2561" max="2561" width="8.140625" style="628" customWidth="1"/>
    <col min="2562" max="2562" width="25.140625" style="628" customWidth="1"/>
    <col min="2563" max="2572" width="15.85546875" style="628" customWidth="1"/>
    <col min="2573" max="2573" width="16.85546875" style="628" customWidth="1"/>
    <col min="2574" max="2574" width="14.5703125" style="628" bestFit="1" customWidth="1"/>
    <col min="2575" max="2580" width="9.140625" style="628"/>
    <col min="2581" max="2581" width="9.28515625" style="628" bestFit="1" customWidth="1"/>
    <col min="2582" max="2582" width="11.140625" style="628" bestFit="1" customWidth="1"/>
    <col min="2583" max="2816" width="9.140625" style="628"/>
    <col min="2817" max="2817" width="8.140625" style="628" customWidth="1"/>
    <col min="2818" max="2818" width="25.140625" style="628" customWidth="1"/>
    <col min="2819" max="2828" width="15.85546875" style="628" customWidth="1"/>
    <col min="2829" max="2829" width="16.85546875" style="628" customWidth="1"/>
    <col min="2830" max="2830" width="14.5703125" style="628" bestFit="1" customWidth="1"/>
    <col min="2831" max="2836" width="9.140625" style="628"/>
    <col min="2837" max="2837" width="9.28515625" style="628" bestFit="1" customWidth="1"/>
    <col min="2838" max="2838" width="11.140625" style="628" bestFit="1" customWidth="1"/>
    <col min="2839" max="3072" width="9.140625" style="628"/>
    <col min="3073" max="3073" width="8.140625" style="628" customWidth="1"/>
    <col min="3074" max="3074" width="25.140625" style="628" customWidth="1"/>
    <col min="3075" max="3084" width="15.85546875" style="628" customWidth="1"/>
    <col min="3085" max="3085" width="16.85546875" style="628" customWidth="1"/>
    <col min="3086" max="3086" width="14.5703125" style="628" bestFit="1" customWidth="1"/>
    <col min="3087" max="3092" width="9.140625" style="628"/>
    <col min="3093" max="3093" width="9.28515625" style="628" bestFit="1" customWidth="1"/>
    <col min="3094" max="3094" width="11.140625" style="628" bestFit="1" customWidth="1"/>
    <col min="3095" max="3328" width="9.140625" style="628"/>
    <col min="3329" max="3329" width="8.140625" style="628" customWidth="1"/>
    <col min="3330" max="3330" width="25.140625" style="628" customWidth="1"/>
    <col min="3331" max="3340" width="15.85546875" style="628" customWidth="1"/>
    <col min="3341" max="3341" width="16.85546875" style="628" customWidth="1"/>
    <col min="3342" max="3342" width="14.5703125" style="628" bestFit="1" customWidth="1"/>
    <col min="3343" max="3348" width="9.140625" style="628"/>
    <col min="3349" max="3349" width="9.28515625" style="628" bestFit="1" customWidth="1"/>
    <col min="3350" max="3350" width="11.140625" style="628" bestFit="1" customWidth="1"/>
    <col min="3351" max="3584" width="9.140625" style="628"/>
    <col min="3585" max="3585" width="8.140625" style="628" customWidth="1"/>
    <col min="3586" max="3586" width="25.140625" style="628" customWidth="1"/>
    <col min="3587" max="3596" width="15.85546875" style="628" customWidth="1"/>
    <col min="3597" max="3597" width="16.85546875" style="628" customWidth="1"/>
    <col min="3598" max="3598" width="14.5703125" style="628" bestFit="1" customWidth="1"/>
    <col min="3599" max="3604" width="9.140625" style="628"/>
    <col min="3605" max="3605" width="9.28515625" style="628" bestFit="1" customWidth="1"/>
    <col min="3606" max="3606" width="11.140625" style="628" bestFit="1" customWidth="1"/>
    <col min="3607" max="3840" width="9.140625" style="628"/>
    <col min="3841" max="3841" width="8.140625" style="628" customWidth="1"/>
    <col min="3842" max="3842" width="25.140625" style="628" customWidth="1"/>
    <col min="3843" max="3852" width="15.85546875" style="628" customWidth="1"/>
    <col min="3853" max="3853" width="16.85546875" style="628" customWidth="1"/>
    <col min="3854" max="3854" width="14.5703125" style="628" bestFit="1" customWidth="1"/>
    <col min="3855" max="3860" width="9.140625" style="628"/>
    <col min="3861" max="3861" width="9.28515625" style="628" bestFit="1" customWidth="1"/>
    <col min="3862" max="3862" width="11.140625" style="628" bestFit="1" customWidth="1"/>
    <col min="3863" max="4096" width="9.140625" style="628"/>
    <col min="4097" max="4097" width="8.140625" style="628" customWidth="1"/>
    <col min="4098" max="4098" width="25.140625" style="628" customWidth="1"/>
    <col min="4099" max="4108" width="15.85546875" style="628" customWidth="1"/>
    <col min="4109" max="4109" width="16.85546875" style="628" customWidth="1"/>
    <col min="4110" max="4110" width="14.5703125" style="628" bestFit="1" customWidth="1"/>
    <col min="4111" max="4116" width="9.140625" style="628"/>
    <col min="4117" max="4117" width="9.28515625" style="628" bestFit="1" customWidth="1"/>
    <col min="4118" max="4118" width="11.140625" style="628" bestFit="1" customWidth="1"/>
    <col min="4119" max="4352" width="9.140625" style="628"/>
    <col min="4353" max="4353" width="8.140625" style="628" customWidth="1"/>
    <col min="4354" max="4354" width="25.140625" style="628" customWidth="1"/>
    <col min="4355" max="4364" width="15.85546875" style="628" customWidth="1"/>
    <col min="4365" max="4365" width="16.85546875" style="628" customWidth="1"/>
    <col min="4366" max="4366" width="14.5703125" style="628" bestFit="1" customWidth="1"/>
    <col min="4367" max="4372" width="9.140625" style="628"/>
    <col min="4373" max="4373" width="9.28515625" style="628" bestFit="1" customWidth="1"/>
    <col min="4374" max="4374" width="11.140625" style="628" bestFit="1" customWidth="1"/>
    <col min="4375" max="4608" width="9.140625" style="628"/>
    <col min="4609" max="4609" width="8.140625" style="628" customWidth="1"/>
    <col min="4610" max="4610" width="25.140625" style="628" customWidth="1"/>
    <col min="4611" max="4620" width="15.85546875" style="628" customWidth="1"/>
    <col min="4621" max="4621" width="16.85546875" style="628" customWidth="1"/>
    <col min="4622" max="4622" width="14.5703125" style="628" bestFit="1" customWidth="1"/>
    <col min="4623" max="4628" width="9.140625" style="628"/>
    <col min="4629" max="4629" width="9.28515625" style="628" bestFit="1" customWidth="1"/>
    <col min="4630" max="4630" width="11.140625" style="628" bestFit="1" customWidth="1"/>
    <col min="4631" max="4864" width="9.140625" style="628"/>
    <col min="4865" max="4865" width="8.140625" style="628" customWidth="1"/>
    <col min="4866" max="4866" width="25.140625" style="628" customWidth="1"/>
    <col min="4867" max="4876" width="15.85546875" style="628" customWidth="1"/>
    <col min="4877" max="4877" width="16.85546875" style="628" customWidth="1"/>
    <col min="4878" max="4878" width="14.5703125" style="628" bestFit="1" customWidth="1"/>
    <col min="4879" max="4884" width="9.140625" style="628"/>
    <col min="4885" max="4885" width="9.28515625" style="628" bestFit="1" customWidth="1"/>
    <col min="4886" max="4886" width="11.140625" style="628" bestFit="1" customWidth="1"/>
    <col min="4887" max="5120" width="9.140625" style="628"/>
    <col min="5121" max="5121" width="8.140625" style="628" customWidth="1"/>
    <col min="5122" max="5122" width="25.140625" style="628" customWidth="1"/>
    <col min="5123" max="5132" width="15.85546875" style="628" customWidth="1"/>
    <col min="5133" max="5133" width="16.85546875" style="628" customWidth="1"/>
    <col min="5134" max="5134" width="14.5703125" style="628" bestFit="1" customWidth="1"/>
    <col min="5135" max="5140" width="9.140625" style="628"/>
    <col min="5141" max="5141" width="9.28515625" style="628" bestFit="1" customWidth="1"/>
    <col min="5142" max="5142" width="11.140625" style="628" bestFit="1" customWidth="1"/>
    <col min="5143" max="5376" width="9.140625" style="628"/>
    <col min="5377" max="5377" width="8.140625" style="628" customWidth="1"/>
    <col min="5378" max="5378" width="25.140625" style="628" customWidth="1"/>
    <col min="5379" max="5388" width="15.85546875" style="628" customWidth="1"/>
    <col min="5389" max="5389" width="16.85546875" style="628" customWidth="1"/>
    <col min="5390" max="5390" width="14.5703125" style="628" bestFit="1" customWidth="1"/>
    <col min="5391" max="5396" width="9.140625" style="628"/>
    <col min="5397" max="5397" width="9.28515625" style="628" bestFit="1" customWidth="1"/>
    <col min="5398" max="5398" width="11.140625" style="628" bestFit="1" customWidth="1"/>
    <col min="5399" max="5632" width="9.140625" style="628"/>
    <col min="5633" max="5633" width="8.140625" style="628" customWidth="1"/>
    <col min="5634" max="5634" width="25.140625" style="628" customWidth="1"/>
    <col min="5635" max="5644" width="15.85546875" style="628" customWidth="1"/>
    <col min="5645" max="5645" width="16.85546875" style="628" customWidth="1"/>
    <col min="5646" max="5646" width="14.5703125" style="628" bestFit="1" customWidth="1"/>
    <col min="5647" max="5652" width="9.140625" style="628"/>
    <col min="5653" max="5653" width="9.28515625" style="628" bestFit="1" customWidth="1"/>
    <col min="5654" max="5654" width="11.140625" style="628" bestFit="1" customWidth="1"/>
    <col min="5655" max="5888" width="9.140625" style="628"/>
    <col min="5889" max="5889" width="8.140625" style="628" customWidth="1"/>
    <col min="5890" max="5890" width="25.140625" style="628" customWidth="1"/>
    <col min="5891" max="5900" width="15.85546875" style="628" customWidth="1"/>
    <col min="5901" max="5901" width="16.85546875" style="628" customWidth="1"/>
    <col min="5902" max="5902" width="14.5703125" style="628" bestFit="1" customWidth="1"/>
    <col min="5903" max="5908" width="9.140625" style="628"/>
    <col min="5909" max="5909" width="9.28515625" style="628" bestFit="1" customWidth="1"/>
    <col min="5910" max="5910" width="11.140625" style="628" bestFit="1" customWidth="1"/>
    <col min="5911" max="6144" width="9.140625" style="628"/>
    <col min="6145" max="6145" width="8.140625" style="628" customWidth="1"/>
    <col min="6146" max="6146" width="25.140625" style="628" customWidth="1"/>
    <col min="6147" max="6156" width="15.85546875" style="628" customWidth="1"/>
    <col min="6157" max="6157" width="16.85546875" style="628" customWidth="1"/>
    <col min="6158" max="6158" width="14.5703125" style="628" bestFit="1" customWidth="1"/>
    <col min="6159" max="6164" width="9.140625" style="628"/>
    <col min="6165" max="6165" width="9.28515625" style="628" bestFit="1" customWidth="1"/>
    <col min="6166" max="6166" width="11.140625" style="628" bestFit="1" customWidth="1"/>
    <col min="6167" max="6400" width="9.140625" style="628"/>
    <col min="6401" max="6401" width="8.140625" style="628" customWidth="1"/>
    <col min="6402" max="6402" width="25.140625" style="628" customWidth="1"/>
    <col min="6403" max="6412" width="15.85546875" style="628" customWidth="1"/>
    <col min="6413" max="6413" width="16.85546875" style="628" customWidth="1"/>
    <col min="6414" max="6414" width="14.5703125" style="628" bestFit="1" customWidth="1"/>
    <col min="6415" max="6420" width="9.140625" style="628"/>
    <col min="6421" max="6421" width="9.28515625" style="628" bestFit="1" customWidth="1"/>
    <col min="6422" max="6422" width="11.140625" style="628" bestFit="1" customWidth="1"/>
    <col min="6423" max="6656" width="9.140625" style="628"/>
    <col min="6657" max="6657" width="8.140625" style="628" customWidth="1"/>
    <col min="6658" max="6658" width="25.140625" style="628" customWidth="1"/>
    <col min="6659" max="6668" width="15.85546875" style="628" customWidth="1"/>
    <col min="6669" max="6669" width="16.85546875" style="628" customWidth="1"/>
    <col min="6670" max="6670" width="14.5703125" style="628" bestFit="1" customWidth="1"/>
    <col min="6671" max="6676" width="9.140625" style="628"/>
    <col min="6677" max="6677" width="9.28515625" style="628" bestFit="1" customWidth="1"/>
    <col min="6678" max="6678" width="11.140625" style="628" bestFit="1" customWidth="1"/>
    <col min="6679" max="6912" width="9.140625" style="628"/>
    <col min="6913" max="6913" width="8.140625" style="628" customWidth="1"/>
    <col min="6914" max="6914" width="25.140625" style="628" customWidth="1"/>
    <col min="6915" max="6924" width="15.85546875" style="628" customWidth="1"/>
    <col min="6925" max="6925" width="16.85546875" style="628" customWidth="1"/>
    <col min="6926" max="6926" width="14.5703125" style="628" bestFit="1" customWidth="1"/>
    <col min="6927" max="6932" width="9.140625" style="628"/>
    <col min="6933" max="6933" width="9.28515625" style="628" bestFit="1" customWidth="1"/>
    <col min="6934" max="6934" width="11.140625" style="628" bestFit="1" customWidth="1"/>
    <col min="6935" max="7168" width="9.140625" style="628"/>
    <col min="7169" max="7169" width="8.140625" style="628" customWidth="1"/>
    <col min="7170" max="7170" width="25.140625" style="628" customWidth="1"/>
    <col min="7171" max="7180" width="15.85546875" style="628" customWidth="1"/>
    <col min="7181" max="7181" width="16.85546875" style="628" customWidth="1"/>
    <col min="7182" max="7182" width="14.5703125" style="628" bestFit="1" customWidth="1"/>
    <col min="7183" max="7188" width="9.140625" style="628"/>
    <col min="7189" max="7189" width="9.28515625" style="628" bestFit="1" customWidth="1"/>
    <col min="7190" max="7190" width="11.140625" style="628" bestFit="1" customWidth="1"/>
    <col min="7191" max="7424" width="9.140625" style="628"/>
    <col min="7425" max="7425" width="8.140625" style="628" customWidth="1"/>
    <col min="7426" max="7426" width="25.140625" style="628" customWidth="1"/>
    <col min="7427" max="7436" width="15.85546875" style="628" customWidth="1"/>
    <col min="7437" max="7437" width="16.85546875" style="628" customWidth="1"/>
    <col min="7438" max="7438" width="14.5703125" style="628" bestFit="1" customWidth="1"/>
    <col min="7439" max="7444" width="9.140625" style="628"/>
    <col min="7445" max="7445" width="9.28515625" style="628" bestFit="1" customWidth="1"/>
    <col min="7446" max="7446" width="11.140625" style="628" bestFit="1" customWidth="1"/>
    <col min="7447" max="7680" width="9.140625" style="628"/>
    <col min="7681" max="7681" width="8.140625" style="628" customWidth="1"/>
    <col min="7682" max="7682" width="25.140625" style="628" customWidth="1"/>
    <col min="7683" max="7692" width="15.85546875" style="628" customWidth="1"/>
    <col min="7693" max="7693" width="16.85546875" style="628" customWidth="1"/>
    <col min="7694" max="7694" width="14.5703125" style="628" bestFit="1" customWidth="1"/>
    <col min="7695" max="7700" width="9.140625" style="628"/>
    <col min="7701" max="7701" width="9.28515625" style="628" bestFit="1" customWidth="1"/>
    <col min="7702" max="7702" width="11.140625" style="628" bestFit="1" customWidth="1"/>
    <col min="7703" max="7936" width="9.140625" style="628"/>
    <col min="7937" max="7937" width="8.140625" style="628" customWidth="1"/>
    <col min="7938" max="7938" width="25.140625" style="628" customWidth="1"/>
    <col min="7939" max="7948" width="15.85546875" style="628" customWidth="1"/>
    <col min="7949" max="7949" width="16.85546875" style="628" customWidth="1"/>
    <col min="7950" max="7950" width="14.5703125" style="628" bestFit="1" customWidth="1"/>
    <col min="7951" max="7956" width="9.140625" style="628"/>
    <col min="7957" max="7957" width="9.28515625" style="628" bestFit="1" customWidth="1"/>
    <col min="7958" max="7958" width="11.140625" style="628" bestFit="1" customWidth="1"/>
    <col min="7959" max="8192" width="9.140625" style="628"/>
    <col min="8193" max="8193" width="8.140625" style="628" customWidth="1"/>
    <col min="8194" max="8194" width="25.140625" style="628" customWidth="1"/>
    <col min="8195" max="8204" width="15.85546875" style="628" customWidth="1"/>
    <col min="8205" max="8205" width="16.85546875" style="628" customWidth="1"/>
    <col min="8206" max="8206" width="14.5703125" style="628" bestFit="1" customWidth="1"/>
    <col min="8207" max="8212" width="9.140625" style="628"/>
    <col min="8213" max="8213" width="9.28515625" style="628" bestFit="1" customWidth="1"/>
    <col min="8214" max="8214" width="11.140625" style="628" bestFit="1" customWidth="1"/>
    <col min="8215" max="8448" width="9.140625" style="628"/>
    <col min="8449" max="8449" width="8.140625" style="628" customWidth="1"/>
    <col min="8450" max="8450" width="25.140625" style="628" customWidth="1"/>
    <col min="8451" max="8460" width="15.85546875" style="628" customWidth="1"/>
    <col min="8461" max="8461" width="16.85546875" style="628" customWidth="1"/>
    <col min="8462" max="8462" width="14.5703125" style="628" bestFit="1" customWidth="1"/>
    <col min="8463" max="8468" width="9.140625" style="628"/>
    <col min="8469" max="8469" width="9.28515625" style="628" bestFit="1" customWidth="1"/>
    <col min="8470" max="8470" width="11.140625" style="628" bestFit="1" customWidth="1"/>
    <col min="8471" max="8704" width="9.140625" style="628"/>
    <col min="8705" max="8705" width="8.140625" style="628" customWidth="1"/>
    <col min="8706" max="8706" width="25.140625" style="628" customWidth="1"/>
    <col min="8707" max="8716" width="15.85546875" style="628" customWidth="1"/>
    <col min="8717" max="8717" width="16.85546875" style="628" customWidth="1"/>
    <col min="8718" max="8718" width="14.5703125" style="628" bestFit="1" customWidth="1"/>
    <col min="8719" max="8724" width="9.140625" style="628"/>
    <col min="8725" max="8725" width="9.28515625" style="628" bestFit="1" customWidth="1"/>
    <col min="8726" max="8726" width="11.140625" style="628" bestFit="1" customWidth="1"/>
    <col min="8727" max="8960" width="9.140625" style="628"/>
    <col min="8961" max="8961" width="8.140625" style="628" customWidth="1"/>
    <col min="8962" max="8962" width="25.140625" style="628" customWidth="1"/>
    <col min="8963" max="8972" width="15.85546875" style="628" customWidth="1"/>
    <col min="8973" max="8973" width="16.85546875" style="628" customWidth="1"/>
    <col min="8974" max="8974" width="14.5703125" style="628" bestFit="1" customWidth="1"/>
    <col min="8975" max="8980" width="9.140625" style="628"/>
    <col min="8981" max="8981" width="9.28515625" style="628" bestFit="1" customWidth="1"/>
    <col min="8982" max="8982" width="11.140625" style="628" bestFit="1" customWidth="1"/>
    <col min="8983" max="9216" width="9.140625" style="628"/>
    <col min="9217" max="9217" width="8.140625" style="628" customWidth="1"/>
    <col min="9218" max="9218" width="25.140625" style="628" customWidth="1"/>
    <col min="9219" max="9228" width="15.85546875" style="628" customWidth="1"/>
    <col min="9229" max="9229" width="16.85546875" style="628" customWidth="1"/>
    <col min="9230" max="9230" width="14.5703125" style="628" bestFit="1" customWidth="1"/>
    <col min="9231" max="9236" width="9.140625" style="628"/>
    <col min="9237" max="9237" width="9.28515625" style="628" bestFit="1" customWidth="1"/>
    <col min="9238" max="9238" width="11.140625" style="628" bestFit="1" customWidth="1"/>
    <col min="9239" max="9472" width="9.140625" style="628"/>
    <col min="9473" max="9473" width="8.140625" style="628" customWidth="1"/>
    <col min="9474" max="9474" width="25.140625" style="628" customWidth="1"/>
    <col min="9475" max="9484" width="15.85546875" style="628" customWidth="1"/>
    <col min="9485" max="9485" width="16.85546875" style="628" customWidth="1"/>
    <col min="9486" max="9486" width="14.5703125" style="628" bestFit="1" customWidth="1"/>
    <col min="9487" max="9492" width="9.140625" style="628"/>
    <col min="9493" max="9493" width="9.28515625" style="628" bestFit="1" customWidth="1"/>
    <col min="9494" max="9494" width="11.140625" style="628" bestFit="1" customWidth="1"/>
    <col min="9495" max="9728" width="9.140625" style="628"/>
    <col min="9729" max="9729" width="8.140625" style="628" customWidth="1"/>
    <col min="9730" max="9730" width="25.140625" style="628" customWidth="1"/>
    <col min="9731" max="9740" width="15.85546875" style="628" customWidth="1"/>
    <col min="9741" max="9741" width="16.85546875" style="628" customWidth="1"/>
    <col min="9742" max="9742" width="14.5703125" style="628" bestFit="1" customWidth="1"/>
    <col min="9743" max="9748" width="9.140625" style="628"/>
    <col min="9749" max="9749" width="9.28515625" style="628" bestFit="1" customWidth="1"/>
    <col min="9750" max="9750" width="11.140625" style="628" bestFit="1" customWidth="1"/>
    <col min="9751" max="9984" width="9.140625" style="628"/>
    <col min="9985" max="9985" width="8.140625" style="628" customWidth="1"/>
    <col min="9986" max="9986" width="25.140625" style="628" customWidth="1"/>
    <col min="9987" max="9996" width="15.85546875" style="628" customWidth="1"/>
    <col min="9997" max="9997" width="16.85546875" style="628" customWidth="1"/>
    <col min="9998" max="9998" width="14.5703125" style="628" bestFit="1" customWidth="1"/>
    <col min="9999" max="10004" width="9.140625" style="628"/>
    <col min="10005" max="10005" width="9.28515625" style="628" bestFit="1" customWidth="1"/>
    <col min="10006" max="10006" width="11.140625" style="628" bestFit="1" customWidth="1"/>
    <col min="10007" max="10240" width="9.140625" style="628"/>
    <col min="10241" max="10241" width="8.140625" style="628" customWidth="1"/>
    <col min="10242" max="10242" width="25.140625" style="628" customWidth="1"/>
    <col min="10243" max="10252" width="15.85546875" style="628" customWidth="1"/>
    <col min="10253" max="10253" width="16.85546875" style="628" customWidth="1"/>
    <col min="10254" max="10254" width="14.5703125" style="628" bestFit="1" customWidth="1"/>
    <col min="10255" max="10260" width="9.140625" style="628"/>
    <col min="10261" max="10261" width="9.28515625" style="628" bestFit="1" customWidth="1"/>
    <col min="10262" max="10262" width="11.140625" style="628" bestFit="1" customWidth="1"/>
    <col min="10263" max="10496" width="9.140625" style="628"/>
    <col min="10497" max="10497" width="8.140625" style="628" customWidth="1"/>
    <col min="10498" max="10498" width="25.140625" style="628" customWidth="1"/>
    <col min="10499" max="10508" width="15.85546875" style="628" customWidth="1"/>
    <col min="10509" max="10509" width="16.85546875" style="628" customWidth="1"/>
    <col min="10510" max="10510" width="14.5703125" style="628" bestFit="1" customWidth="1"/>
    <col min="10511" max="10516" width="9.140625" style="628"/>
    <col min="10517" max="10517" width="9.28515625" style="628" bestFit="1" customWidth="1"/>
    <col min="10518" max="10518" width="11.140625" style="628" bestFit="1" customWidth="1"/>
    <col min="10519" max="10752" width="9.140625" style="628"/>
    <col min="10753" max="10753" width="8.140625" style="628" customWidth="1"/>
    <col min="10754" max="10754" width="25.140625" style="628" customWidth="1"/>
    <col min="10755" max="10764" width="15.85546875" style="628" customWidth="1"/>
    <col min="10765" max="10765" width="16.85546875" style="628" customWidth="1"/>
    <col min="10766" max="10766" width="14.5703125" style="628" bestFit="1" customWidth="1"/>
    <col min="10767" max="10772" width="9.140625" style="628"/>
    <col min="10773" max="10773" width="9.28515625" style="628" bestFit="1" customWidth="1"/>
    <col min="10774" max="10774" width="11.140625" style="628" bestFit="1" customWidth="1"/>
    <col min="10775" max="11008" width="9.140625" style="628"/>
    <col min="11009" max="11009" width="8.140625" style="628" customWidth="1"/>
    <col min="11010" max="11010" width="25.140625" style="628" customWidth="1"/>
    <col min="11011" max="11020" width="15.85546875" style="628" customWidth="1"/>
    <col min="11021" max="11021" width="16.85546875" style="628" customWidth="1"/>
    <col min="11022" max="11022" width="14.5703125" style="628" bestFit="1" customWidth="1"/>
    <col min="11023" max="11028" width="9.140625" style="628"/>
    <col min="11029" max="11029" width="9.28515625" style="628" bestFit="1" customWidth="1"/>
    <col min="11030" max="11030" width="11.140625" style="628" bestFit="1" customWidth="1"/>
    <col min="11031" max="11264" width="9.140625" style="628"/>
    <col min="11265" max="11265" width="8.140625" style="628" customWidth="1"/>
    <col min="11266" max="11266" width="25.140625" style="628" customWidth="1"/>
    <col min="11267" max="11276" width="15.85546875" style="628" customWidth="1"/>
    <col min="11277" max="11277" width="16.85546875" style="628" customWidth="1"/>
    <col min="11278" max="11278" width="14.5703125" style="628" bestFit="1" customWidth="1"/>
    <col min="11279" max="11284" width="9.140625" style="628"/>
    <col min="11285" max="11285" width="9.28515625" style="628" bestFit="1" customWidth="1"/>
    <col min="11286" max="11286" width="11.140625" style="628" bestFit="1" customWidth="1"/>
    <col min="11287" max="11520" width="9.140625" style="628"/>
    <col min="11521" max="11521" width="8.140625" style="628" customWidth="1"/>
    <col min="11522" max="11522" width="25.140625" style="628" customWidth="1"/>
    <col min="11523" max="11532" width="15.85546875" style="628" customWidth="1"/>
    <col min="11533" max="11533" width="16.85546875" style="628" customWidth="1"/>
    <col min="11534" max="11534" width="14.5703125" style="628" bestFit="1" customWidth="1"/>
    <col min="11535" max="11540" width="9.140625" style="628"/>
    <col min="11541" max="11541" width="9.28515625" style="628" bestFit="1" customWidth="1"/>
    <col min="11542" max="11542" width="11.140625" style="628" bestFit="1" customWidth="1"/>
    <col min="11543" max="11776" width="9.140625" style="628"/>
    <col min="11777" max="11777" width="8.140625" style="628" customWidth="1"/>
    <col min="11778" max="11778" width="25.140625" style="628" customWidth="1"/>
    <col min="11779" max="11788" width="15.85546875" style="628" customWidth="1"/>
    <col min="11789" max="11789" width="16.85546875" style="628" customWidth="1"/>
    <col min="11790" max="11790" width="14.5703125" style="628" bestFit="1" customWidth="1"/>
    <col min="11791" max="11796" width="9.140625" style="628"/>
    <col min="11797" max="11797" width="9.28515625" style="628" bestFit="1" customWidth="1"/>
    <col min="11798" max="11798" width="11.140625" style="628" bestFit="1" customWidth="1"/>
    <col min="11799" max="12032" width="9.140625" style="628"/>
    <col min="12033" max="12033" width="8.140625" style="628" customWidth="1"/>
    <col min="12034" max="12034" width="25.140625" style="628" customWidth="1"/>
    <col min="12035" max="12044" width="15.85546875" style="628" customWidth="1"/>
    <col min="12045" max="12045" width="16.85546875" style="628" customWidth="1"/>
    <col min="12046" max="12046" width="14.5703125" style="628" bestFit="1" customWidth="1"/>
    <col min="12047" max="12052" width="9.140625" style="628"/>
    <col min="12053" max="12053" width="9.28515625" style="628" bestFit="1" customWidth="1"/>
    <col min="12054" max="12054" width="11.140625" style="628" bestFit="1" customWidth="1"/>
    <col min="12055" max="12288" width="9.140625" style="628"/>
    <col min="12289" max="12289" width="8.140625" style="628" customWidth="1"/>
    <col min="12290" max="12290" width="25.140625" style="628" customWidth="1"/>
    <col min="12291" max="12300" width="15.85546875" style="628" customWidth="1"/>
    <col min="12301" max="12301" width="16.85546875" style="628" customWidth="1"/>
    <col min="12302" max="12302" width="14.5703125" style="628" bestFit="1" customWidth="1"/>
    <col min="12303" max="12308" width="9.140625" style="628"/>
    <col min="12309" max="12309" width="9.28515625" style="628" bestFit="1" customWidth="1"/>
    <col min="12310" max="12310" width="11.140625" style="628" bestFit="1" customWidth="1"/>
    <col min="12311" max="12544" width="9.140625" style="628"/>
    <col min="12545" max="12545" width="8.140625" style="628" customWidth="1"/>
    <col min="12546" max="12546" width="25.140625" style="628" customWidth="1"/>
    <col min="12547" max="12556" width="15.85546875" style="628" customWidth="1"/>
    <col min="12557" max="12557" width="16.85546875" style="628" customWidth="1"/>
    <col min="12558" max="12558" width="14.5703125" style="628" bestFit="1" customWidth="1"/>
    <col min="12559" max="12564" width="9.140625" style="628"/>
    <col min="12565" max="12565" width="9.28515625" style="628" bestFit="1" customWidth="1"/>
    <col min="12566" max="12566" width="11.140625" style="628" bestFit="1" customWidth="1"/>
    <col min="12567" max="12800" width="9.140625" style="628"/>
    <col min="12801" max="12801" width="8.140625" style="628" customWidth="1"/>
    <col min="12802" max="12802" width="25.140625" style="628" customWidth="1"/>
    <col min="12803" max="12812" width="15.85546875" style="628" customWidth="1"/>
    <col min="12813" max="12813" width="16.85546875" style="628" customWidth="1"/>
    <col min="12814" max="12814" width="14.5703125" style="628" bestFit="1" customWidth="1"/>
    <col min="12815" max="12820" width="9.140625" style="628"/>
    <col min="12821" max="12821" width="9.28515625" style="628" bestFit="1" customWidth="1"/>
    <col min="12822" max="12822" width="11.140625" style="628" bestFit="1" customWidth="1"/>
    <col min="12823" max="13056" width="9.140625" style="628"/>
    <col min="13057" max="13057" width="8.140625" style="628" customWidth="1"/>
    <col min="13058" max="13058" width="25.140625" style="628" customWidth="1"/>
    <col min="13059" max="13068" width="15.85546875" style="628" customWidth="1"/>
    <col min="13069" max="13069" width="16.85546875" style="628" customWidth="1"/>
    <col min="13070" max="13070" width="14.5703125" style="628" bestFit="1" customWidth="1"/>
    <col min="13071" max="13076" width="9.140625" style="628"/>
    <col min="13077" max="13077" width="9.28515625" style="628" bestFit="1" customWidth="1"/>
    <col min="13078" max="13078" width="11.140625" style="628" bestFit="1" customWidth="1"/>
    <col min="13079" max="13312" width="9.140625" style="628"/>
    <col min="13313" max="13313" width="8.140625" style="628" customWidth="1"/>
    <col min="13314" max="13314" width="25.140625" style="628" customWidth="1"/>
    <col min="13315" max="13324" width="15.85546875" style="628" customWidth="1"/>
    <col min="13325" max="13325" width="16.85546875" style="628" customWidth="1"/>
    <col min="13326" max="13326" width="14.5703125" style="628" bestFit="1" customWidth="1"/>
    <col min="13327" max="13332" width="9.140625" style="628"/>
    <col min="13333" max="13333" width="9.28515625" style="628" bestFit="1" customWidth="1"/>
    <col min="13334" max="13334" width="11.140625" style="628" bestFit="1" customWidth="1"/>
    <col min="13335" max="13568" width="9.140625" style="628"/>
    <col min="13569" max="13569" width="8.140625" style="628" customWidth="1"/>
    <col min="13570" max="13570" width="25.140625" style="628" customWidth="1"/>
    <col min="13571" max="13580" width="15.85546875" style="628" customWidth="1"/>
    <col min="13581" max="13581" width="16.85546875" style="628" customWidth="1"/>
    <col min="13582" max="13582" width="14.5703125" style="628" bestFit="1" customWidth="1"/>
    <col min="13583" max="13588" width="9.140625" style="628"/>
    <col min="13589" max="13589" width="9.28515625" style="628" bestFit="1" customWidth="1"/>
    <col min="13590" max="13590" width="11.140625" style="628" bestFit="1" customWidth="1"/>
    <col min="13591" max="13824" width="9.140625" style="628"/>
    <col min="13825" max="13825" width="8.140625" style="628" customWidth="1"/>
    <col min="13826" max="13826" width="25.140625" style="628" customWidth="1"/>
    <col min="13827" max="13836" width="15.85546875" style="628" customWidth="1"/>
    <col min="13837" max="13837" width="16.85546875" style="628" customWidth="1"/>
    <col min="13838" max="13838" width="14.5703125" style="628" bestFit="1" customWidth="1"/>
    <col min="13839" max="13844" width="9.140625" style="628"/>
    <col min="13845" max="13845" width="9.28515625" style="628" bestFit="1" customWidth="1"/>
    <col min="13846" max="13846" width="11.140625" style="628" bestFit="1" customWidth="1"/>
    <col min="13847" max="14080" width="9.140625" style="628"/>
    <col min="14081" max="14081" width="8.140625" style="628" customWidth="1"/>
    <col min="14082" max="14082" width="25.140625" style="628" customWidth="1"/>
    <col min="14083" max="14092" width="15.85546875" style="628" customWidth="1"/>
    <col min="14093" max="14093" width="16.85546875" style="628" customWidth="1"/>
    <col min="14094" max="14094" width="14.5703125" style="628" bestFit="1" customWidth="1"/>
    <col min="14095" max="14100" width="9.140625" style="628"/>
    <col min="14101" max="14101" width="9.28515625" style="628" bestFit="1" customWidth="1"/>
    <col min="14102" max="14102" width="11.140625" style="628" bestFit="1" customWidth="1"/>
    <col min="14103" max="14336" width="9.140625" style="628"/>
    <col min="14337" max="14337" width="8.140625" style="628" customWidth="1"/>
    <col min="14338" max="14338" width="25.140625" style="628" customWidth="1"/>
    <col min="14339" max="14348" width="15.85546875" style="628" customWidth="1"/>
    <col min="14349" max="14349" width="16.85546875" style="628" customWidth="1"/>
    <col min="14350" max="14350" width="14.5703125" style="628" bestFit="1" customWidth="1"/>
    <col min="14351" max="14356" width="9.140625" style="628"/>
    <col min="14357" max="14357" width="9.28515625" style="628" bestFit="1" customWidth="1"/>
    <col min="14358" max="14358" width="11.140625" style="628" bestFit="1" customWidth="1"/>
    <col min="14359" max="14592" width="9.140625" style="628"/>
    <col min="14593" max="14593" width="8.140625" style="628" customWidth="1"/>
    <col min="14594" max="14594" width="25.140625" style="628" customWidth="1"/>
    <col min="14595" max="14604" width="15.85546875" style="628" customWidth="1"/>
    <col min="14605" max="14605" width="16.85546875" style="628" customWidth="1"/>
    <col min="14606" max="14606" width="14.5703125" style="628" bestFit="1" customWidth="1"/>
    <col min="14607" max="14612" width="9.140625" style="628"/>
    <col min="14613" max="14613" width="9.28515625" style="628" bestFit="1" customWidth="1"/>
    <col min="14614" max="14614" width="11.140625" style="628" bestFit="1" customWidth="1"/>
    <col min="14615" max="14848" width="9.140625" style="628"/>
    <col min="14849" max="14849" width="8.140625" style="628" customWidth="1"/>
    <col min="14850" max="14850" width="25.140625" style="628" customWidth="1"/>
    <col min="14851" max="14860" width="15.85546875" style="628" customWidth="1"/>
    <col min="14861" max="14861" width="16.85546875" style="628" customWidth="1"/>
    <col min="14862" max="14862" width="14.5703125" style="628" bestFit="1" customWidth="1"/>
    <col min="14863" max="14868" width="9.140625" style="628"/>
    <col min="14869" max="14869" width="9.28515625" style="628" bestFit="1" customWidth="1"/>
    <col min="14870" max="14870" width="11.140625" style="628" bestFit="1" customWidth="1"/>
    <col min="14871" max="15104" width="9.140625" style="628"/>
    <col min="15105" max="15105" width="8.140625" style="628" customWidth="1"/>
    <col min="15106" max="15106" width="25.140625" style="628" customWidth="1"/>
    <col min="15107" max="15116" width="15.85546875" style="628" customWidth="1"/>
    <col min="15117" max="15117" width="16.85546875" style="628" customWidth="1"/>
    <col min="15118" max="15118" width="14.5703125" style="628" bestFit="1" customWidth="1"/>
    <col min="15119" max="15124" width="9.140625" style="628"/>
    <col min="15125" max="15125" width="9.28515625" style="628" bestFit="1" customWidth="1"/>
    <col min="15126" max="15126" width="11.140625" style="628" bestFit="1" customWidth="1"/>
    <col min="15127" max="15360" width="9.140625" style="628"/>
    <col min="15361" max="15361" width="8.140625" style="628" customWidth="1"/>
    <col min="15362" max="15362" width="25.140625" style="628" customWidth="1"/>
    <col min="15363" max="15372" width="15.85546875" style="628" customWidth="1"/>
    <col min="15373" max="15373" width="16.85546875" style="628" customWidth="1"/>
    <col min="15374" max="15374" width="14.5703125" style="628" bestFit="1" customWidth="1"/>
    <col min="15375" max="15380" width="9.140625" style="628"/>
    <col min="15381" max="15381" width="9.28515625" style="628" bestFit="1" customWidth="1"/>
    <col min="15382" max="15382" width="11.140625" style="628" bestFit="1" customWidth="1"/>
    <col min="15383" max="15616" width="9.140625" style="628"/>
    <col min="15617" max="15617" width="8.140625" style="628" customWidth="1"/>
    <col min="15618" max="15618" width="25.140625" style="628" customWidth="1"/>
    <col min="15619" max="15628" width="15.85546875" style="628" customWidth="1"/>
    <col min="15629" max="15629" width="16.85546875" style="628" customWidth="1"/>
    <col min="15630" max="15630" width="14.5703125" style="628" bestFit="1" customWidth="1"/>
    <col min="15631" max="15636" width="9.140625" style="628"/>
    <col min="15637" max="15637" width="9.28515625" style="628" bestFit="1" customWidth="1"/>
    <col min="15638" max="15638" width="11.140625" style="628" bestFit="1" customWidth="1"/>
    <col min="15639" max="15872" width="9.140625" style="628"/>
    <col min="15873" max="15873" width="8.140625" style="628" customWidth="1"/>
    <col min="15874" max="15874" width="25.140625" style="628" customWidth="1"/>
    <col min="15875" max="15884" width="15.85546875" style="628" customWidth="1"/>
    <col min="15885" max="15885" width="16.85546875" style="628" customWidth="1"/>
    <col min="15886" max="15886" width="14.5703125" style="628" bestFit="1" customWidth="1"/>
    <col min="15887" max="15892" width="9.140625" style="628"/>
    <col min="15893" max="15893" width="9.28515625" style="628" bestFit="1" customWidth="1"/>
    <col min="15894" max="15894" width="11.140625" style="628" bestFit="1" customWidth="1"/>
    <col min="15895" max="16128" width="9.140625" style="628"/>
    <col min="16129" max="16129" width="8.140625" style="628" customWidth="1"/>
    <col min="16130" max="16130" width="25.140625" style="628" customWidth="1"/>
    <col min="16131" max="16140" width="15.85546875" style="628" customWidth="1"/>
    <col min="16141" max="16141" width="16.85546875" style="628" customWidth="1"/>
    <col min="16142" max="16142" width="14.5703125" style="628" bestFit="1" customWidth="1"/>
    <col min="16143" max="16148" width="9.140625" style="628"/>
    <col min="16149" max="16149" width="9.28515625" style="628" bestFit="1" customWidth="1"/>
    <col min="16150" max="16150" width="11.140625" style="628" bestFit="1" customWidth="1"/>
    <col min="16151" max="16384" width="9.140625" style="628"/>
  </cols>
  <sheetData>
    <row r="2" spans="2:14" ht="21.75" customHeight="1" x14ac:dyDescent="0.2">
      <c r="B2" s="625" t="s">
        <v>780</v>
      </c>
      <c r="C2" s="626"/>
      <c r="D2" s="626"/>
      <c r="E2" s="626"/>
      <c r="F2" s="626"/>
      <c r="G2" s="626"/>
      <c r="H2" s="626"/>
      <c r="I2" s="627"/>
      <c r="J2" s="627"/>
      <c r="K2"/>
      <c r="L2" s="627"/>
    </row>
    <row r="3" spans="2:14" x14ac:dyDescent="0.2">
      <c r="B3" s="627"/>
      <c r="C3" s="627"/>
      <c r="D3" s="627"/>
      <c r="E3" s="627"/>
      <c r="F3" s="627"/>
      <c r="G3" s="627"/>
      <c r="H3" s="627"/>
      <c r="I3" s="627"/>
      <c r="J3" s="627"/>
      <c r="K3"/>
      <c r="L3" s="627"/>
    </row>
    <row r="4" spans="2:14" ht="15" thickBot="1" x14ac:dyDescent="0.25">
      <c r="B4" s="627"/>
      <c r="C4" s="627"/>
      <c r="D4" s="627"/>
      <c r="E4" s="627"/>
      <c r="F4" s="627"/>
      <c r="G4" s="629"/>
      <c r="H4" s="627"/>
      <c r="I4" s="627"/>
      <c r="J4" s="627"/>
      <c r="K4" s="627"/>
      <c r="L4" s="627"/>
    </row>
    <row r="5" spans="2:14" ht="14.25" customHeight="1" thickBot="1" x14ac:dyDescent="0.25">
      <c r="B5" s="630" t="s">
        <v>781</v>
      </c>
      <c r="C5" s="631" t="s">
        <v>782</v>
      </c>
      <c r="D5" s="631" t="s">
        <v>783</v>
      </c>
      <c r="E5" s="631"/>
      <c r="F5" s="631"/>
      <c r="G5" s="631"/>
      <c r="H5" s="631"/>
      <c r="I5" s="627"/>
      <c r="J5" s="627"/>
      <c r="K5" s="627"/>
      <c r="L5" s="627"/>
    </row>
    <row r="6" spans="2:14" ht="15" thickBot="1" x14ac:dyDescent="0.25">
      <c r="B6" s="630"/>
      <c r="C6" s="631"/>
      <c r="D6" s="630" t="s">
        <v>784</v>
      </c>
      <c r="E6" s="630"/>
      <c r="F6" s="630" t="s">
        <v>785</v>
      </c>
      <c r="G6" s="630"/>
      <c r="H6" s="630"/>
      <c r="I6" s="627"/>
      <c r="J6" s="627"/>
      <c r="K6" s="627"/>
      <c r="L6" s="627"/>
    </row>
    <row r="7" spans="2:14" ht="74.25" customHeight="1" thickBot="1" x14ac:dyDescent="0.25">
      <c r="B7" s="630"/>
      <c r="C7" s="631"/>
      <c r="D7" s="632" t="s">
        <v>786</v>
      </c>
      <c r="E7" s="632" t="s">
        <v>787</v>
      </c>
      <c r="F7" s="633" t="s">
        <v>788</v>
      </c>
      <c r="G7" s="633" t="s">
        <v>789</v>
      </c>
      <c r="H7" s="632" t="s">
        <v>790</v>
      </c>
      <c r="I7" s="627"/>
      <c r="J7" s="627"/>
      <c r="K7" s="627"/>
      <c r="L7" s="627"/>
      <c r="N7"/>
    </row>
    <row r="8" spans="2:14" ht="23.25" customHeight="1" thickBot="1" x14ac:dyDescent="0.25">
      <c r="B8" s="634" t="s">
        <v>791</v>
      </c>
      <c r="C8" s="635">
        <v>667147.8540899998</v>
      </c>
      <c r="D8" s="635">
        <v>44054.673310000006</v>
      </c>
      <c r="E8" s="635">
        <v>623093.18078000005</v>
      </c>
      <c r="F8" s="635">
        <v>434790.06177000009</v>
      </c>
      <c r="G8" s="635">
        <v>173690.79632999998</v>
      </c>
      <c r="H8" s="635">
        <v>14612.322679999999</v>
      </c>
      <c r="I8" s="175"/>
      <c r="J8"/>
      <c r="K8"/>
      <c r="L8"/>
      <c r="M8"/>
      <c r="N8"/>
    </row>
    <row r="9" spans="2:14" ht="23.25" customHeight="1" thickBot="1" x14ac:dyDescent="0.25">
      <c r="B9" s="634" t="s">
        <v>792</v>
      </c>
      <c r="C9" s="635">
        <v>724836.54575999989</v>
      </c>
      <c r="D9" s="635">
        <v>87357.006510000021</v>
      </c>
      <c r="E9" s="635">
        <v>637479.53925000026</v>
      </c>
      <c r="F9" s="635">
        <v>444247.33505000005</v>
      </c>
      <c r="G9" s="635">
        <v>178661.61029999991</v>
      </c>
      <c r="H9" s="635">
        <v>14570.593899999998</v>
      </c>
      <c r="I9" s="175"/>
      <c r="J9"/>
      <c r="K9"/>
      <c r="L9"/>
      <c r="M9"/>
      <c r="N9"/>
    </row>
    <row r="10" spans="2:14" ht="23.25" customHeight="1" thickBot="1" x14ac:dyDescent="0.25">
      <c r="B10" s="634" t="s">
        <v>793</v>
      </c>
      <c r="C10" s="635">
        <v>719042.38025000016</v>
      </c>
      <c r="D10" s="635">
        <v>65383.937929999985</v>
      </c>
      <c r="E10" s="635">
        <v>653658.44232000015</v>
      </c>
      <c r="F10" s="635">
        <v>454586.84863999987</v>
      </c>
      <c r="G10" s="635">
        <v>183809.89259000006</v>
      </c>
      <c r="H10" s="635">
        <v>15261</v>
      </c>
      <c r="I10" s="175"/>
      <c r="J10"/>
      <c r="K10"/>
      <c r="L10"/>
      <c r="M10"/>
      <c r="N10"/>
    </row>
    <row r="11" spans="2:14" ht="23.25" customHeight="1" thickBot="1" x14ac:dyDescent="0.25">
      <c r="B11" s="634" t="s">
        <v>794</v>
      </c>
      <c r="C11" s="635">
        <v>718464.0144799999</v>
      </c>
      <c r="D11" s="635">
        <v>54192.362629999996</v>
      </c>
      <c r="E11" s="635">
        <v>664271.65185000002</v>
      </c>
      <c r="F11" s="635">
        <v>462715</v>
      </c>
      <c r="G11" s="635">
        <v>186011.07844999997</v>
      </c>
      <c r="H11" s="635">
        <v>15546.139730000001</v>
      </c>
      <c r="I11" s="175"/>
      <c r="J11"/>
      <c r="K11"/>
      <c r="L11"/>
      <c r="M11"/>
      <c r="N11"/>
    </row>
    <row r="12" spans="2:14" ht="23.25" customHeight="1" thickBot="1" x14ac:dyDescent="0.25">
      <c r="B12" s="634" t="s">
        <v>795</v>
      </c>
      <c r="C12" s="635">
        <v>707663.8831400004</v>
      </c>
      <c r="D12" s="635">
        <v>64929.284639999998</v>
      </c>
      <c r="E12" s="635">
        <v>642734.59849999996</v>
      </c>
      <c r="F12" s="635">
        <v>453345.19874999998</v>
      </c>
      <c r="G12" s="635">
        <v>173846.74253999998</v>
      </c>
      <c r="H12" s="635">
        <v>15542.657210000001</v>
      </c>
      <c r="I12" s="175"/>
      <c r="J12"/>
      <c r="K12"/>
      <c r="L12"/>
      <c r="M12"/>
      <c r="N12"/>
    </row>
    <row r="13" spans="2:14" ht="23.25" customHeight="1" thickBot="1" x14ac:dyDescent="0.25">
      <c r="B13" s="634" t="s">
        <v>796</v>
      </c>
      <c r="C13" s="635">
        <v>724606.91304999986</v>
      </c>
      <c r="D13" s="635">
        <v>80207.874540000004</v>
      </c>
      <c r="E13" s="635">
        <v>644399.03850999998</v>
      </c>
      <c r="F13" s="635">
        <v>450950.96434000001</v>
      </c>
      <c r="G13" s="635">
        <v>177057.26384999999</v>
      </c>
      <c r="H13" s="635">
        <v>16390.810320000001</v>
      </c>
      <c r="I13" s="175"/>
      <c r="J13"/>
      <c r="K13"/>
      <c r="L13"/>
      <c r="M13"/>
      <c r="N13"/>
    </row>
    <row r="14" spans="2:14" ht="23.25" customHeight="1" thickBot="1" x14ac:dyDescent="0.25">
      <c r="B14" s="634" t="s">
        <v>797</v>
      </c>
      <c r="C14" s="635">
        <v>741615.38801999972</v>
      </c>
      <c r="D14" s="635">
        <v>87486.234949999984</v>
      </c>
      <c r="E14" s="635">
        <v>654129.15306999977</v>
      </c>
      <c r="F14" s="635">
        <v>455182.76551999996</v>
      </c>
      <c r="G14" s="635">
        <v>181307.96472999995</v>
      </c>
      <c r="H14" s="635">
        <v>17638.422820000003</v>
      </c>
      <c r="I14" s="175"/>
      <c r="J14"/>
      <c r="K14"/>
      <c r="L14"/>
      <c r="M14"/>
      <c r="N14"/>
    </row>
    <row r="15" spans="2:14" ht="23.25" customHeight="1" thickBot="1" x14ac:dyDescent="0.25">
      <c r="B15" s="634" t="s">
        <v>798</v>
      </c>
      <c r="C15" s="635">
        <v>768461.07744999987</v>
      </c>
      <c r="D15" s="635">
        <v>101930.4667</v>
      </c>
      <c r="E15" s="635">
        <v>666530.61074999999</v>
      </c>
      <c r="F15" s="635">
        <v>459955</v>
      </c>
      <c r="G15" s="635">
        <v>187982.93491999988</v>
      </c>
      <c r="H15" s="635">
        <v>18593.228669999993</v>
      </c>
      <c r="I15" s="175"/>
      <c r="J15"/>
      <c r="K15"/>
      <c r="L15"/>
      <c r="M15"/>
      <c r="N15"/>
    </row>
    <row r="16" spans="2:14" ht="23.25" customHeight="1" thickBot="1" x14ac:dyDescent="0.25">
      <c r="B16" s="634" t="s">
        <v>799</v>
      </c>
      <c r="C16" s="635">
        <v>759678.98880000005</v>
      </c>
      <c r="D16" s="635">
        <v>85899.750429999985</v>
      </c>
      <c r="E16" s="635">
        <v>673779.2383699998</v>
      </c>
      <c r="F16" s="635">
        <v>464116.90665999998</v>
      </c>
      <c r="G16" s="635">
        <v>190619.08823000002</v>
      </c>
      <c r="H16" s="635">
        <v>19043.243479999997</v>
      </c>
      <c r="I16" s="175"/>
      <c r="J16"/>
      <c r="K16"/>
      <c r="L16"/>
      <c r="M16"/>
      <c r="N16"/>
    </row>
    <row r="17" spans="2:14" ht="23.25" customHeight="1" thickBot="1" x14ac:dyDescent="0.25">
      <c r="B17" s="634" t="s">
        <v>800</v>
      </c>
      <c r="C17" s="635">
        <v>740864.10253999999</v>
      </c>
      <c r="D17" s="635">
        <v>87682.721260000006</v>
      </c>
      <c r="E17" s="635">
        <v>653181.38128000009</v>
      </c>
      <c r="F17" s="635">
        <v>448931.14277000003</v>
      </c>
      <c r="G17" s="635">
        <v>186803.27509000004</v>
      </c>
      <c r="H17" s="635">
        <v>17446.963420000007</v>
      </c>
      <c r="I17" s="175"/>
      <c r="J17"/>
      <c r="K17"/>
      <c r="L17"/>
      <c r="M17"/>
      <c r="N17"/>
    </row>
    <row r="18" spans="2:14" ht="23.25" customHeight="1" thickBot="1" x14ac:dyDescent="0.25">
      <c r="B18" s="634" t="s">
        <v>801</v>
      </c>
      <c r="C18" s="635">
        <v>735572.8469</v>
      </c>
      <c r="D18" s="635">
        <v>69918.539889999985</v>
      </c>
      <c r="E18" s="635">
        <v>665654.30700999987</v>
      </c>
      <c r="F18" s="635">
        <v>458903.94797000004</v>
      </c>
      <c r="G18" s="635">
        <v>189377.03570000004</v>
      </c>
      <c r="H18" s="635">
        <v>17373.323339999995</v>
      </c>
      <c r="I18" s="175"/>
      <c r="J18"/>
      <c r="K18"/>
      <c r="L18"/>
      <c r="M18"/>
      <c r="N18"/>
    </row>
    <row r="19" spans="2:14" ht="23.25" customHeight="1" thickBot="1" x14ac:dyDescent="0.25">
      <c r="B19" s="634" t="s">
        <v>802</v>
      </c>
      <c r="C19" s="635">
        <f>SUM(D19:E19)</f>
        <v>734733.95982000011</v>
      </c>
      <c r="D19" s="635">
        <v>77857.820879999985</v>
      </c>
      <c r="E19" s="635">
        <v>656876.13894000009</v>
      </c>
      <c r="F19" s="635">
        <v>451612.8125900001</v>
      </c>
      <c r="G19" s="635">
        <v>188406.13484999997</v>
      </c>
      <c r="H19" s="635">
        <v>16857.191500000004</v>
      </c>
      <c r="I19" s="175"/>
      <c r="J19"/>
      <c r="K19"/>
      <c r="L19"/>
      <c r="M19"/>
      <c r="N19"/>
    </row>
    <row r="20" spans="2:14" ht="23.25" customHeight="1" thickBot="1" x14ac:dyDescent="0.25">
      <c r="B20" s="634" t="s">
        <v>803</v>
      </c>
      <c r="C20" s="635">
        <v>725513.39976000017</v>
      </c>
      <c r="D20" s="635">
        <v>58678.139940000001</v>
      </c>
      <c r="E20" s="635">
        <v>666835.2598199998</v>
      </c>
      <c r="F20" s="635">
        <v>457600.58115999989</v>
      </c>
      <c r="G20" s="635">
        <v>191854.35837000006</v>
      </c>
      <c r="H20" s="635">
        <v>17380.32029</v>
      </c>
      <c r="I20" s="175"/>
      <c r="J20"/>
      <c r="K20"/>
      <c r="L20"/>
      <c r="M20"/>
      <c r="N20"/>
    </row>
    <row r="21" spans="2:14" ht="23.25" customHeight="1" x14ac:dyDescent="0.2">
      <c r="B21" s="636" t="s">
        <v>804</v>
      </c>
      <c r="C21" s="637"/>
      <c r="D21" s="637"/>
      <c r="E21" s="637"/>
      <c r="F21" s="637"/>
      <c r="G21" s="637"/>
      <c r="H21" s="638"/>
      <c r="I21" s="639"/>
      <c r="J21" s="640"/>
      <c r="K21" s="627"/>
      <c r="L21" s="627"/>
      <c r="N21"/>
    </row>
    <row r="22" spans="2:14" ht="23.25" customHeight="1" x14ac:dyDescent="0.2">
      <c r="B22" s="627"/>
      <c r="C22" s="627"/>
      <c r="D22" s="627"/>
      <c r="E22" s="627"/>
      <c r="F22" s="641"/>
      <c r="G22" s="627"/>
      <c r="H22" s="642"/>
      <c r="I22" s="641"/>
      <c r="J22" s="627"/>
      <c r="K22" s="627"/>
      <c r="L22" s="627"/>
      <c r="N22"/>
    </row>
    <row r="23" spans="2:14" ht="23.25" customHeight="1" x14ac:dyDescent="0.2">
      <c r="B23" s="643" t="s">
        <v>805</v>
      </c>
      <c r="C23" s="644"/>
      <c r="D23" s="644"/>
      <c r="E23" s="644"/>
      <c r="F23" s="644"/>
      <c r="G23" s="644"/>
      <c r="H23" s="644"/>
      <c r="I23" s="645"/>
      <c r="J23" s="645"/>
      <c r="K23" s="645"/>
      <c r="L23" s="645"/>
    </row>
    <row r="24" spans="2:14" ht="23.25" customHeight="1" thickBot="1" x14ac:dyDescent="0.25">
      <c r="B24" s="644"/>
      <c r="C24" s="644"/>
      <c r="D24" s="644"/>
      <c r="E24" s="644"/>
      <c r="F24" s="644"/>
      <c r="G24" s="644"/>
      <c r="H24" s="644"/>
      <c r="I24" s="646"/>
      <c r="J24" s="646"/>
      <c r="K24" s="646"/>
      <c r="L24" s="646"/>
    </row>
    <row r="25" spans="2:14" ht="38.25" customHeight="1" thickBot="1" x14ac:dyDescent="0.25">
      <c r="B25" s="647" t="s">
        <v>806</v>
      </c>
      <c r="C25" s="647" t="s">
        <v>807</v>
      </c>
      <c r="D25" s="647" t="s">
        <v>808</v>
      </c>
      <c r="E25" s="647" t="s">
        <v>809</v>
      </c>
      <c r="F25" s="647" t="s">
        <v>810</v>
      </c>
      <c r="G25" s="647" t="s">
        <v>811</v>
      </c>
      <c r="H25" s="647" t="s">
        <v>812</v>
      </c>
      <c r="I25" s="647" t="s">
        <v>813</v>
      </c>
      <c r="J25" s="647" t="s">
        <v>814</v>
      </c>
      <c r="K25" s="647" t="s">
        <v>815</v>
      </c>
      <c r="L25" s="647" t="s">
        <v>816</v>
      </c>
    </row>
    <row r="26" spans="2:14" ht="18.75" customHeight="1" thickBot="1" x14ac:dyDescent="0.25">
      <c r="B26" s="634" t="s">
        <v>817</v>
      </c>
      <c r="C26" s="648">
        <v>667147.85408999992</v>
      </c>
      <c r="D26" s="648">
        <v>62205.766679999993</v>
      </c>
      <c r="E26" s="648">
        <v>339027.20921000006</v>
      </c>
      <c r="F26" s="648">
        <v>108293.74187999996</v>
      </c>
      <c r="G26" s="648">
        <v>9646.8987799999995</v>
      </c>
      <c r="H26" s="648">
        <v>10096.23213</v>
      </c>
      <c r="I26" s="648">
        <v>53621.493409999995</v>
      </c>
      <c r="J26" s="648">
        <v>68435.507569999987</v>
      </c>
      <c r="K26" s="648">
        <v>12756.09215</v>
      </c>
      <c r="L26" s="648">
        <v>3064.9122800000005</v>
      </c>
    </row>
    <row r="27" spans="2:14" ht="18.75" customHeight="1" thickBot="1" x14ac:dyDescent="0.25">
      <c r="B27" s="634" t="s">
        <v>818</v>
      </c>
      <c r="C27" s="648">
        <v>724836.54576000001</v>
      </c>
      <c r="D27" s="648">
        <v>68265.344350000028</v>
      </c>
      <c r="E27" s="648">
        <v>369113.22180000006</v>
      </c>
      <c r="F27" s="648">
        <v>118139</v>
      </c>
      <c r="G27" s="648">
        <v>10622.730519999999</v>
      </c>
      <c r="H27" s="648">
        <v>10436.256009999997</v>
      </c>
      <c r="I27" s="648">
        <v>55465.951500000003</v>
      </c>
      <c r="J27" s="648">
        <v>76985.943150000006</v>
      </c>
      <c r="K27" s="648">
        <v>12744.050559999996</v>
      </c>
      <c r="L27" s="648">
        <v>3064.5585799999999</v>
      </c>
    </row>
    <row r="28" spans="2:14" ht="24" customHeight="1" thickBot="1" x14ac:dyDescent="0.25">
      <c r="B28" s="634" t="s">
        <v>819</v>
      </c>
      <c r="C28" s="648">
        <v>719042.38024999993</v>
      </c>
      <c r="D28" s="648">
        <v>67213.559640000007</v>
      </c>
      <c r="E28" s="648">
        <v>365708.20387000003</v>
      </c>
      <c r="F28" s="648">
        <v>117079.23698000002</v>
      </c>
      <c r="G28" s="648">
        <v>10831.267320000003</v>
      </c>
      <c r="H28" s="648">
        <v>11219.649170000001</v>
      </c>
      <c r="I28" s="648">
        <v>54838.103899999995</v>
      </c>
      <c r="J28" s="648">
        <v>76344.201429999986</v>
      </c>
      <c r="K28" s="648">
        <v>12744.254660000001</v>
      </c>
      <c r="L28" s="648">
        <v>3063.9032800000004</v>
      </c>
    </row>
    <row r="29" spans="2:14" ht="18.75" customHeight="1" thickBot="1" x14ac:dyDescent="0.25">
      <c r="B29" s="634" t="s">
        <v>820</v>
      </c>
      <c r="C29" s="648">
        <v>718464.0144799999</v>
      </c>
      <c r="D29" s="648">
        <v>67493</v>
      </c>
      <c r="E29" s="648">
        <v>365009.24566000007</v>
      </c>
      <c r="F29" s="648">
        <v>116909.74216999998</v>
      </c>
      <c r="G29" s="648">
        <v>10873.372240000002</v>
      </c>
      <c r="H29" s="648">
        <v>11463.074739999998</v>
      </c>
      <c r="I29" s="648">
        <v>54345.003469999996</v>
      </c>
      <c r="J29" s="648">
        <v>76577.920429999984</v>
      </c>
      <c r="K29" s="648">
        <v>12730.334029999998</v>
      </c>
      <c r="L29" s="648">
        <v>3062.84204</v>
      </c>
    </row>
    <row r="30" spans="2:14" ht="18.75" customHeight="1" thickBot="1" x14ac:dyDescent="0.25">
      <c r="B30" s="634" t="s">
        <v>821</v>
      </c>
      <c r="C30" s="648">
        <v>707663.88314000005</v>
      </c>
      <c r="D30" s="648">
        <v>64924.063210000008</v>
      </c>
      <c r="E30" s="648">
        <v>362180.2233800001</v>
      </c>
      <c r="F30" s="648">
        <v>115864.13913999998</v>
      </c>
      <c r="G30" s="648">
        <v>11028.670259999995</v>
      </c>
      <c r="H30" s="648">
        <v>11546.359710000001</v>
      </c>
      <c r="I30" s="648">
        <v>49483.508809999992</v>
      </c>
      <c r="J30" s="648">
        <v>78923.291989999983</v>
      </c>
      <c r="K30" s="648">
        <v>12548.631539999997</v>
      </c>
      <c r="L30" s="648">
        <v>1164.9951000000001</v>
      </c>
    </row>
    <row r="31" spans="2:14" ht="18.75" customHeight="1" thickBot="1" x14ac:dyDescent="0.25">
      <c r="B31" s="634" t="s">
        <v>822</v>
      </c>
      <c r="C31" s="648">
        <v>724606.91304999997</v>
      </c>
      <c r="D31" s="648">
        <v>66063.461630000005</v>
      </c>
      <c r="E31" s="648">
        <v>371959.76987999986</v>
      </c>
      <c r="F31" s="648">
        <v>119086.22534</v>
      </c>
      <c r="G31" s="648">
        <v>11191.7039</v>
      </c>
      <c r="H31" s="648">
        <v>12241.982860000002</v>
      </c>
      <c r="I31" s="648">
        <v>49494.838789999994</v>
      </c>
      <c r="J31" s="648">
        <v>80799.859570000001</v>
      </c>
      <c r="K31" s="648">
        <v>12606.2019</v>
      </c>
      <c r="L31" s="648">
        <v>1162.8691800000001</v>
      </c>
    </row>
    <row r="32" spans="2:14" ht="18.75" customHeight="1" thickBot="1" x14ac:dyDescent="0.25">
      <c r="B32" s="634" t="s">
        <v>823</v>
      </c>
      <c r="C32" s="648">
        <v>741615.38801999995</v>
      </c>
      <c r="D32" s="648">
        <v>67496.124750000003</v>
      </c>
      <c r="E32" s="648">
        <v>378482.24300000002</v>
      </c>
      <c r="F32" s="648">
        <v>121010.03944000001</v>
      </c>
      <c r="G32" s="648">
        <v>11521.926899999999</v>
      </c>
      <c r="H32" s="648">
        <v>13297.809369999999</v>
      </c>
      <c r="I32" s="648">
        <v>53127.620059999987</v>
      </c>
      <c r="J32" s="648">
        <v>82918.78611999999</v>
      </c>
      <c r="K32" s="648">
        <v>12598.204709999998</v>
      </c>
      <c r="L32" s="648">
        <v>1162.6336699999999</v>
      </c>
    </row>
    <row r="33" spans="2:12" ht="18.75" customHeight="1" thickBot="1" x14ac:dyDescent="0.25">
      <c r="B33" s="634" t="s">
        <v>824</v>
      </c>
      <c r="C33" s="648">
        <v>768461.07744999987</v>
      </c>
      <c r="D33" s="648">
        <v>71610.388040000005</v>
      </c>
      <c r="E33" s="648">
        <v>394729.4270699998</v>
      </c>
      <c r="F33" s="648">
        <v>125896.99302000002</v>
      </c>
      <c r="G33" s="648">
        <v>11457.148569999996</v>
      </c>
      <c r="H33" s="648">
        <v>13610.45527</v>
      </c>
      <c r="I33" s="648">
        <v>50231.351439999999</v>
      </c>
      <c r="J33" s="648">
        <v>87172.170769999997</v>
      </c>
      <c r="K33" s="648">
        <v>12590.80975</v>
      </c>
      <c r="L33" s="648">
        <v>1162.3335199999999</v>
      </c>
    </row>
    <row r="34" spans="2:12" ht="18.75" customHeight="1" thickBot="1" x14ac:dyDescent="0.25">
      <c r="B34" s="634" t="s">
        <v>825</v>
      </c>
      <c r="C34" s="648">
        <v>759678.98880000005</v>
      </c>
      <c r="D34" s="648">
        <v>69553.825939999995</v>
      </c>
      <c r="E34" s="648">
        <v>389554.86015000002</v>
      </c>
      <c r="F34" s="648">
        <v>124031.93126999999</v>
      </c>
      <c r="G34" s="648">
        <v>11852.438639999998</v>
      </c>
      <c r="H34" s="648">
        <v>14066.048640000001</v>
      </c>
      <c r="I34" s="648">
        <v>51038.839369999994</v>
      </c>
      <c r="J34" s="648">
        <v>85834.175460000028</v>
      </c>
      <c r="K34" s="648">
        <v>12584.59232</v>
      </c>
      <c r="L34" s="648">
        <v>1162.27701</v>
      </c>
    </row>
    <row r="35" spans="2:12" ht="18.75" customHeight="1" thickBot="1" x14ac:dyDescent="0.25">
      <c r="B35" s="634" t="s">
        <v>826</v>
      </c>
      <c r="C35" s="648">
        <v>740864.10254000011</v>
      </c>
      <c r="D35" s="648">
        <v>68509.085110000015</v>
      </c>
      <c r="E35" s="648">
        <v>380570.33656999998</v>
      </c>
      <c r="F35" s="648">
        <v>121226.46473000002</v>
      </c>
      <c r="G35" s="648">
        <v>11523.408059999998</v>
      </c>
      <c r="H35" s="648">
        <v>12190.448189999999</v>
      </c>
      <c r="I35" s="648">
        <v>49206.018270000008</v>
      </c>
      <c r="J35" s="648">
        <v>84000.39665000001</v>
      </c>
      <c r="K35" s="648">
        <v>12521</v>
      </c>
      <c r="L35" s="648">
        <v>1116.3904900000002</v>
      </c>
    </row>
    <row r="36" spans="2:12" ht="18.75" customHeight="1" thickBot="1" x14ac:dyDescent="0.25">
      <c r="B36" s="634" t="s">
        <v>827</v>
      </c>
      <c r="C36" s="648">
        <v>735572.84690000012</v>
      </c>
      <c r="D36" s="648">
        <v>68152.549660000004</v>
      </c>
      <c r="E36" s="648">
        <v>377879.42502000002</v>
      </c>
      <c r="F36" s="648">
        <v>120890.54813</v>
      </c>
      <c r="G36" s="648">
        <v>11314.991010000002</v>
      </c>
      <c r="H36" s="648">
        <v>11835.772220000001</v>
      </c>
      <c r="I36" s="648">
        <v>48704.233610000018</v>
      </c>
      <c r="J36" s="648">
        <v>83163.279309999998</v>
      </c>
      <c r="K36" s="648">
        <v>12515.95457</v>
      </c>
      <c r="L36" s="648">
        <v>1116.0933700000003</v>
      </c>
    </row>
    <row r="37" spans="2:12" ht="18.75" customHeight="1" thickBot="1" x14ac:dyDescent="0.25">
      <c r="B37" s="634" t="s">
        <v>828</v>
      </c>
      <c r="C37" s="648">
        <f>SUM(D37:L37)</f>
        <v>734733.95981999999</v>
      </c>
      <c r="D37" s="648">
        <v>68011.379259999987</v>
      </c>
      <c r="E37" s="648">
        <v>377896.13909999985</v>
      </c>
      <c r="F37" s="648">
        <v>120775.71616000001</v>
      </c>
      <c r="G37" s="648">
        <v>11344.039020000002</v>
      </c>
      <c r="H37" s="648">
        <v>11470.376669999996</v>
      </c>
      <c r="I37" s="648">
        <v>47666.053470000006</v>
      </c>
      <c r="J37" s="648">
        <v>83955.60358000001</v>
      </c>
      <c r="K37" s="648">
        <v>12507.689179999999</v>
      </c>
      <c r="L37" s="648">
        <v>1106.9633800000001</v>
      </c>
    </row>
    <row r="38" spans="2:12" ht="18.75" customHeight="1" thickBot="1" x14ac:dyDescent="0.25">
      <c r="B38" s="634" t="s">
        <v>829</v>
      </c>
      <c r="C38" s="648">
        <v>725513.39976000006</v>
      </c>
      <c r="D38" s="648">
        <v>66848.825679999994</v>
      </c>
      <c r="E38" s="648">
        <v>370808.50283000013</v>
      </c>
      <c r="F38" s="648">
        <v>118278.21408000002</v>
      </c>
      <c r="G38" s="648">
        <v>10897.575419999999</v>
      </c>
      <c r="H38" s="648">
        <v>11443.781039999998</v>
      </c>
      <c r="I38" s="648">
        <v>51880.985370000017</v>
      </c>
      <c r="J38" s="648">
        <v>81763.640640000012</v>
      </c>
      <c r="K38" s="648">
        <v>12504.308219999995</v>
      </c>
      <c r="L38" s="648">
        <v>1087.56648</v>
      </c>
    </row>
    <row r="40" spans="2:12" x14ac:dyDescent="0.2">
      <c r="D40" s="649"/>
    </row>
    <row r="41" spans="2:12" x14ac:dyDescent="0.2">
      <c r="D41" s="649"/>
    </row>
    <row r="42" spans="2:12" x14ac:dyDescent="0.2">
      <c r="D42" s="649"/>
    </row>
    <row r="43" spans="2:12" x14ac:dyDescent="0.2">
      <c r="D43" s="649"/>
    </row>
    <row r="44" spans="2:12" x14ac:dyDescent="0.2">
      <c r="D44" s="649"/>
    </row>
    <row r="45" spans="2:12" x14ac:dyDescent="0.2">
      <c r="D45" s="649"/>
    </row>
    <row r="46" spans="2:12" x14ac:dyDescent="0.2">
      <c r="D46" s="649"/>
    </row>
    <row r="47" spans="2:12" x14ac:dyDescent="0.2">
      <c r="D47" s="649"/>
    </row>
    <row r="48" spans="2:12" x14ac:dyDescent="0.2">
      <c r="D48" s="649"/>
    </row>
    <row r="49" spans="4:4" x14ac:dyDescent="0.2">
      <c r="D49" s="650"/>
    </row>
  </sheetData>
  <mergeCells count="6">
    <mergeCell ref="B2:H2"/>
    <mergeCell ref="B5:B7"/>
    <mergeCell ref="C5:C7"/>
    <mergeCell ref="D5:H5"/>
    <mergeCell ref="D6:E6"/>
    <mergeCell ref="F6:H6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2FED"/>
    <pageSetUpPr fitToPage="1"/>
  </sheetPr>
  <dimension ref="A1"/>
  <sheetViews>
    <sheetView showGridLines="0" topLeftCell="A26" workbookViewId="0">
      <selection activeCell="C22" sqref="C22:H22"/>
    </sheetView>
  </sheetViews>
  <sheetFormatPr defaultRowHeight="12.75" x14ac:dyDescent="0.2"/>
  <cols>
    <col min="1" max="1" width="9.140625" style="499"/>
    <col min="2" max="2" width="9.28515625" style="499" customWidth="1"/>
    <col min="3" max="3" width="9.85546875" style="499" customWidth="1"/>
    <col min="4" max="257" width="9.140625" style="499"/>
    <col min="258" max="258" width="9.28515625" style="499" customWidth="1"/>
    <col min="259" max="259" width="9.85546875" style="499" customWidth="1"/>
    <col min="260" max="513" width="9.140625" style="499"/>
    <col min="514" max="514" width="9.28515625" style="499" customWidth="1"/>
    <col min="515" max="515" width="9.85546875" style="499" customWidth="1"/>
    <col min="516" max="769" width="9.140625" style="499"/>
    <col min="770" max="770" width="9.28515625" style="499" customWidth="1"/>
    <col min="771" max="771" width="9.85546875" style="499" customWidth="1"/>
    <col min="772" max="1025" width="9.140625" style="499"/>
    <col min="1026" max="1026" width="9.28515625" style="499" customWidth="1"/>
    <col min="1027" max="1027" width="9.85546875" style="499" customWidth="1"/>
    <col min="1028" max="1281" width="9.140625" style="499"/>
    <col min="1282" max="1282" width="9.28515625" style="499" customWidth="1"/>
    <col min="1283" max="1283" width="9.85546875" style="499" customWidth="1"/>
    <col min="1284" max="1537" width="9.140625" style="499"/>
    <col min="1538" max="1538" width="9.28515625" style="499" customWidth="1"/>
    <col min="1539" max="1539" width="9.85546875" style="499" customWidth="1"/>
    <col min="1540" max="1793" width="9.140625" style="499"/>
    <col min="1794" max="1794" width="9.28515625" style="499" customWidth="1"/>
    <col min="1795" max="1795" width="9.85546875" style="499" customWidth="1"/>
    <col min="1796" max="2049" width="9.140625" style="499"/>
    <col min="2050" max="2050" width="9.28515625" style="499" customWidth="1"/>
    <col min="2051" max="2051" width="9.85546875" style="499" customWidth="1"/>
    <col min="2052" max="2305" width="9.140625" style="499"/>
    <col min="2306" max="2306" width="9.28515625" style="499" customWidth="1"/>
    <col min="2307" max="2307" width="9.85546875" style="499" customWidth="1"/>
    <col min="2308" max="2561" width="9.140625" style="499"/>
    <col min="2562" max="2562" width="9.28515625" style="499" customWidth="1"/>
    <col min="2563" max="2563" width="9.85546875" style="499" customWidth="1"/>
    <col min="2564" max="2817" width="9.140625" style="499"/>
    <col min="2818" max="2818" width="9.28515625" style="499" customWidth="1"/>
    <col min="2819" max="2819" width="9.85546875" style="499" customWidth="1"/>
    <col min="2820" max="3073" width="9.140625" style="499"/>
    <col min="3074" max="3074" width="9.28515625" style="499" customWidth="1"/>
    <col min="3075" max="3075" width="9.85546875" style="499" customWidth="1"/>
    <col min="3076" max="3329" width="9.140625" style="499"/>
    <col min="3330" max="3330" width="9.28515625" style="499" customWidth="1"/>
    <col min="3331" max="3331" width="9.85546875" style="499" customWidth="1"/>
    <col min="3332" max="3585" width="9.140625" style="499"/>
    <col min="3586" max="3586" width="9.28515625" style="499" customWidth="1"/>
    <col min="3587" max="3587" width="9.85546875" style="499" customWidth="1"/>
    <col min="3588" max="3841" width="9.140625" style="499"/>
    <col min="3842" max="3842" width="9.28515625" style="499" customWidth="1"/>
    <col min="3843" max="3843" width="9.85546875" style="499" customWidth="1"/>
    <col min="3844" max="4097" width="9.140625" style="499"/>
    <col min="4098" max="4098" width="9.28515625" style="499" customWidth="1"/>
    <col min="4099" max="4099" width="9.85546875" style="499" customWidth="1"/>
    <col min="4100" max="4353" width="9.140625" style="499"/>
    <col min="4354" max="4354" width="9.28515625" style="499" customWidth="1"/>
    <col min="4355" max="4355" width="9.85546875" style="499" customWidth="1"/>
    <col min="4356" max="4609" width="9.140625" style="499"/>
    <col min="4610" max="4610" width="9.28515625" style="499" customWidth="1"/>
    <col min="4611" max="4611" width="9.85546875" style="499" customWidth="1"/>
    <col min="4612" max="4865" width="9.140625" style="499"/>
    <col min="4866" max="4866" width="9.28515625" style="499" customWidth="1"/>
    <col min="4867" max="4867" width="9.85546875" style="499" customWidth="1"/>
    <col min="4868" max="5121" width="9.140625" style="499"/>
    <col min="5122" max="5122" width="9.28515625" style="499" customWidth="1"/>
    <col min="5123" max="5123" width="9.85546875" style="499" customWidth="1"/>
    <col min="5124" max="5377" width="9.140625" style="499"/>
    <col min="5378" max="5378" width="9.28515625" style="499" customWidth="1"/>
    <col min="5379" max="5379" width="9.85546875" style="499" customWidth="1"/>
    <col min="5380" max="5633" width="9.140625" style="499"/>
    <col min="5634" max="5634" width="9.28515625" style="499" customWidth="1"/>
    <col min="5635" max="5635" width="9.85546875" style="499" customWidth="1"/>
    <col min="5636" max="5889" width="9.140625" style="499"/>
    <col min="5890" max="5890" width="9.28515625" style="499" customWidth="1"/>
    <col min="5891" max="5891" width="9.85546875" style="499" customWidth="1"/>
    <col min="5892" max="6145" width="9.140625" style="499"/>
    <col min="6146" max="6146" width="9.28515625" style="499" customWidth="1"/>
    <col min="6147" max="6147" width="9.85546875" style="499" customWidth="1"/>
    <col min="6148" max="6401" width="9.140625" style="499"/>
    <col min="6402" max="6402" width="9.28515625" style="499" customWidth="1"/>
    <col min="6403" max="6403" width="9.85546875" style="499" customWidth="1"/>
    <col min="6404" max="6657" width="9.140625" style="499"/>
    <col min="6658" max="6658" width="9.28515625" style="499" customWidth="1"/>
    <col min="6659" max="6659" width="9.85546875" style="499" customWidth="1"/>
    <col min="6660" max="6913" width="9.140625" style="499"/>
    <col min="6914" max="6914" width="9.28515625" style="499" customWidth="1"/>
    <col min="6915" max="6915" width="9.85546875" style="499" customWidth="1"/>
    <col min="6916" max="7169" width="9.140625" style="499"/>
    <col min="7170" max="7170" width="9.28515625" style="499" customWidth="1"/>
    <col min="7171" max="7171" width="9.85546875" style="499" customWidth="1"/>
    <col min="7172" max="7425" width="9.140625" style="499"/>
    <col min="7426" max="7426" width="9.28515625" style="499" customWidth="1"/>
    <col min="7427" max="7427" width="9.85546875" style="499" customWidth="1"/>
    <col min="7428" max="7681" width="9.140625" style="499"/>
    <col min="7682" max="7682" width="9.28515625" style="499" customWidth="1"/>
    <col min="7683" max="7683" width="9.85546875" style="499" customWidth="1"/>
    <col min="7684" max="7937" width="9.140625" style="499"/>
    <col min="7938" max="7938" width="9.28515625" style="499" customWidth="1"/>
    <col min="7939" max="7939" width="9.85546875" style="499" customWidth="1"/>
    <col min="7940" max="8193" width="9.140625" style="499"/>
    <col min="8194" max="8194" width="9.28515625" style="499" customWidth="1"/>
    <col min="8195" max="8195" width="9.85546875" style="499" customWidth="1"/>
    <col min="8196" max="8449" width="9.140625" style="499"/>
    <col min="8450" max="8450" width="9.28515625" style="499" customWidth="1"/>
    <col min="8451" max="8451" width="9.85546875" style="499" customWidth="1"/>
    <col min="8452" max="8705" width="9.140625" style="499"/>
    <col min="8706" max="8706" width="9.28515625" style="499" customWidth="1"/>
    <col min="8707" max="8707" width="9.85546875" style="499" customWidth="1"/>
    <col min="8708" max="8961" width="9.140625" style="499"/>
    <col min="8962" max="8962" width="9.28515625" style="499" customWidth="1"/>
    <col min="8963" max="8963" width="9.85546875" style="499" customWidth="1"/>
    <col min="8964" max="9217" width="9.140625" style="499"/>
    <col min="9218" max="9218" width="9.28515625" style="499" customWidth="1"/>
    <col min="9219" max="9219" width="9.85546875" style="499" customWidth="1"/>
    <col min="9220" max="9473" width="9.140625" style="499"/>
    <col min="9474" max="9474" width="9.28515625" style="499" customWidth="1"/>
    <col min="9475" max="9475" width="9.85546875" style="499" customWidth="1"/>
    <col min="9476" max="9729" width="9.140625" style="499"/>
    <col min="9730" max="9730" width="9.28515625" style="499" customWidth="1"/>
    <col min="9731" max="9731" width="9.85546875" style="499" customWidth="1"/>
    <col min="9732" max="9985" width="9.140625" style="499"/>
    <col min="9986" max="9986" width="9.28515625" style="499" customWidth="1"/>
    <col min="9987" max="9987" width="9.85546875" style="499" customWidth="1"/>
    <col min="9988" max="10241" width="9.140625" style="499"/>
    <col min="10242" max="10242" width="9.28515625" style="499" customWidth="1"/>
    <col min="10243" max="10243" width="9.85546875" style="499" customWidth="1"/>
    <col min="10244" max="10497" width="9.140625" style="499"/>
    <col min="10498" max="10498" width="9.28515625" style="499" customWidth="1"/>
    <col min="10499" max="10499" width="9.85546875" style="499" customWidth="1"/>
    <col min="10500" max="10753" width="9.140625" style="499"/>
    <col min="10754" max="10754" width="9.28515625" style="499" customWidth="1"/>
    <col min="10755" max="10755" width="9.85546875" style="499" customWidth="1"/>
    <col min="10756" max="11009" width="9.140625" style="499"/>
    <col min="11010" max="11010" width="9.28515625" style="499" customWidth="1"/>
    <col min="11011" max="11011" width="9.85546875" style="499" customWidth="1"/>
    <col min="11012" max="11265" width="9.140625" style="499"/>
    <col min="11266" max="11266" width="9.28515625" style="499" customWidth="1"/>
    <col min="11267" max="11267" width="9.85546875" style="499" customWidth="1"/>
    <col min="11268" max="11521" width="9.140625" style="499"/>
    <col min="11522" max="11522" width="9.28515625" style="499" customWidth="1"/>
    <col min="11523" max="11523" width="9.85546875" style="499" customWidth="1"/>
    <col min="11524" max="11777" width="9.140625" style="499"/>
    <col min="11778" max="11778" width="9.28515625" style="499" customWidth="1"/>
    <col min="11779" max="11779" width="9.85546875" style="499" customWidth="1"/>
    <col min="11780" max="12033" width="9.140625" style="499"/>
    <col min="12034" max="12034" width="9.28515625" style="499" customWidth="1"/>
    <col min="12035" max="12035" width="9.85546875" style="499" customWidth="1"/>
    <col min="12036" max="12289" width="9.140625" style="499"/>
    <col min="12290" max="12290" width="9.28515625" style="499" customWidth="1"/>
    <col min="12291" max="12291" width="9.85546875" style="499" customWidth="1"/>
    <col min="12292" max="12545" width="9.140625" style="499"/>
    <col min="12546" max="12546" width="9.28515625" style="499" customWidth="1"/>
    <col min="12547" max="12547" width="9.85546875" style="499" customWidth="1"/>
    <col min="12548" max="12801" width="9.140625" style="499"/>
    <col min="12802" max="12802" width="9.28515625" style="499" customWidth="1"/>
    <col min="12803" max="12803" width="9.85546875" style="499" customWidth="1"/>
    <col min="12804" max="13057" width="9.140625" style="499"/>
    <col min="13058" max="13058" width="9.28515625" style="499" customWidth="1"/>
    <col min="13059" max="13059" width="9.85546875" style="499" customWidth="1"/>
    <col min="13060" max="13313" width="9.140625" style="499"/>
    <col min="13314" max="13314" width="9.28515625" style="499" customWidth="1"/>
    <col min="13315" max="13315" width="9.85546875" style="499" customWidth="1"/>
    <col min="13316" max="13569" width="9.140625" style="499"/>
    <col min="13570" max="13570" width="9.28515625" style="499" customWidth="1"/>
    <col min="13571" max="13571" width="9.85546875" style="499" customWidth="1"/>
    <col min="13572" max="13825" width="9.140625" style="499"/>
    <col min="13826" max="13826" width="9.28515625" style="499" customWidth="1"/>
    <col min="13827" max="13827" width="9.85546875" style="499" customWidth="1"/>
    <col min="13828" max="14081" width="9.140625" style="499"/>
    <col min="14082" max="14082" width="9.28515625" style="499" customWidth="1"/>
    <col min="14083" max="14083" width="9.85546875" style="499" customWidth="1"/>
    <col min="14084" max="14337" width="9.140625" style="499"/>
    <col min="14338" max="14338" width="9.28515625" style="499" customWidth="1"/>
    <col min="14339" max="14339" width="9.85546875" style="499" customWidth="1"/>
    <col min="14340" max="14593" width="9.140625" style="499"/>
    <col min="14594" max="14594" width="9.28515625" style="499" customWidth="1"/>
    <col min="14595" max="14595" width="9.85546875" style="499" customWidth="1"/>
    <col min="14596" max="14849" width="9.140625" style="499"/>
    <col min="14850" max="14850" width="9.28515625" style="499" customWidth="1"/>
    <col min="14851" max="14851" width="9.85546875" style="499" customWidth="1"/>
    <col min="14852" max="15105" width="9.140625" style="499"/>
    <col min="15106" max="15106" width="9.28515625" style="499" customWidth="1"/>
    <col min="15107" max="15107" width="9.85546875" style="499" customWidth="1"/>
    <col min="15108" max="15361" width="9.140625" style="499"/>
    <col min="15362" max="15362" width="9.28515625" style="499" customWidth="1"/>
    <col min="15363" max="15363" width="9.85546875" style="499" customWidth="1"/>
    <col min="15364" max="15617" width="9.140625" style="499"/>
    <col min="15618" max="15618" width="9.28515625" style="499" customWidth="1"/>
    <col min="15619" max="15619" width="9.85546875" style="499" customWidth="1"/>
    <col min="15620" max="15873" width="9.140625" style="499"/>
    <col min="15874" max="15874" width="9.28515625" style="499" customWidth="1"/>
    <col min="15875" max="15875" width="9.85546875" style="499" customWidth="1"/>
    <col min="15876" max="16129" width="9.140625" style="499"/>
    <col min="16130" max="16130" width="9.28515625" style="499" customWidth="1"/>
    <col min="16131" max="16131" width="9.85546875" style="499" customWidth="1"/>
    <col min="16132" max="16384" width="9.140625" style="499"/>
  </cols>
  <sheetData>
    <row r="1" ht="69" customHeight="1" x14ac:dyDescent="0.2"/>
  </sheetData>
  <printOptions horizontalCentered="1"/>
  <pageMargins left="0.39370078740157483" right="0.39370078740157483" top="0.59055118110236227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2FED"/>
  </sheetPr>
  <dimension ref="B1:U48"/>
  <sheetViews>
    <sheetView zoomScale="90" zoomScaleNormal="90" workbookViewId="0">
      <selection activeCell="C22" sqref="C22:H22"/>
    </sheetView>
  </sheetViews>
  <sheetFormatPr defaultRowHeight="12.75" x14ac:dyDescent="0.2"/>
  <cols>
    <col min="1" max="1" width="9.140625" style="651"/>
    <col min="2" max="2" width="20.42578125" style="651" customWidth="1"/>
    <col min="3" max="3" width="14.85546875" style="651" customWidth="1"/>
    <col min="4" max="4" width="13.85546875" style="651" customWidth="1"/>
    <col min="5" max="5" width="15.28515625" style="651" customWidth="1"/>
    <col min="6" max="6" width="20.7109375" style="651" customWidth="1"/>
    <col min="7" max="7" width="9.140625" style="651"/>
    <col min="8" max="8" width="14.85546875" style="651" bestFit="1" customWidth="1"/>
    <col min="9" max="9" width="14" style="651" customWidth="1"/>
    <col min="10" max="10" width="13.28515625" style="651" customWidth="1"/>
    <col min="11" max="12" width="9.140625" style="651"/>
    <col min="13" max="13" width="14.85546875" style="651" customWidth="1"/>
    <col min="14" max="257" width="9.140625" style="651"/>
    <col min="258" max="258" width="20.42578125" style="651" customWidth="1"/>
    <col min="259" max="259" width="14.85546875" style="651" customWidth="1"/>
    <col min="260" max="260" width="13.85546875" style="651" customWidth="1"/>
    <col min="261" max="261" width="15.28515625" style="651" customWidth="1"/>
    <col min="262" max="262" width="20.7109375" style="651" customWidth="1"/>
    <col min="263" max="263" width="9.140625" style="651"/>
    <col min="264" max="264" width="14.85546875" style="651" bestFit="1" customWidth="1"/>
    <col min="265" max="265" width="14" style="651" customWidth="1"/>
    <col min="266" max="266" width="13.28515625" style="651" customWidth="1"/>
    <col min="267" max="268" width="9.140625" style="651"/>
    <col min="269" max="269" width="14.85546875" style="651" customWidth="1"/>
    <col min="270" max="513" width="9.140625" style="651"/>
    <col min="514" max="514" width="20.42578125" style="651" customWidth="1"/>
    <col min="515" max="515" width="14.85546875" style="651" customWidth="1"/>
    <col min="516" max="516" width="13.85546875" style="651" customWidth="1"/>
    <col min="517" max="517" width="15.28515625" style="651" customWidth="1"/>
    <col min="518" max="518" width="20.7109375" style="651" customWidth="1"/>
    <col min="519" max="519" width="9.140625" style="651"/>
    <col min="520" max="520" width="14.85546875" style="651" bestFit="1" customWidth="1"/>
    <col min="521" max="521" width="14" style="651" customWidth="1"/>
    <col min="522" max="522" width="13.28515625" style="651" customWidth="1"/>
    <col min="523" max="524" width="9.140625" style="651"/>
    <col min="525" max="525" width="14.85546875" style="651" customWidth="1"/>
    <col min="526" max="769" width="9.140625" style="651"/>
    <col min="770" max="770" width="20.42578125" style="651" customWidth="1"/>
    <col min="771" max="771" width="14.85546875" style="651" customWidth="1"/>
    <col min="772" max="772" width="13.85546875" style="651" customWidth="1"/>
    <col min="773" max="773" width="15.28515625" style="651" customWidth="1"/>
    <col min="774" max="774" width="20.7109375" style="651" customWidth="1"/>
    <col min="775" max="775" width="9.140625" style="651"/>
    <col min="776" max="776" width="14.85546875" style="651" bestFit="1" customWidth="1"/>
    <col min="777" max="777" width="14" style="651" customWidth="1"/>
    <col min="778" max="778" width="13.28515625" style="651" customWidth="1"/>
    <col min="779" max="780" width="9.140625" style="651"/>
    <col min="781" max="781" width="14.85546875" style="651" customWidth="1"/>
    <col min="782" max="1025" width="9.140625" style="651"/>
    <col min="1026" max="1026" width="20.42578125" style="651" customWidth="1"/>
    <col min="1027" max="1027" width="14.85546875" style="651" customWidth="1"/>
    <col min="1028" max="1028" width="13.85546875" style="651" customWidth="1"/>
    <col min="1029" max="1029" width="15.28515625" style="651" customWidth="1"/>
    <col min="1030" max="1030" width="20.7109375" style="651" customWidth="1"/>
    <col min="1031" max="1031" width="9.140625" style="651"/>
    <col min="1032" max="1032" width="14.85546875" style="651" bestFit="1" customWidth="1"/>
    <col min="1033" max="1033" width="14" style="651" customWidth="1"/>
    <col min="1034" max="1034" width="13.28515625" style="651" customWidth="1"/>
    <col min="1035" max="1036" width="9.140625" style="651"/>
    <col min="1037" max="1037" width="14.85546875" style="651" customWidth="1"/>
    <col min="1038" max="1281" width="9.140625" style="651"/>
    <col min="1282" max="1282" width="20.42578125" style="651" customWidth="1"/>
    <col min="1283" max="1283" width="14.85546875" style="651" customWidth="1"/>
    <col min="1284" max="1284" width="13.85546875" style="651" customWidth="1"/>
    <col min="1285" max="1285" width="15.28515625" style="651" customWidth="1"/>
    <col min="1286" max="1286" width="20.7109375" style="651" customWidth="1"/>
    <col min="1287" max="1287" width="9.140625" style="651"/>
    <col min="1288" max="1288" width="14.85546875" style="651" bestFit="1" customWidth="1"/>
    <col min="1289" max="1289" width="14" style="651" customWidth="1"/>
    <col min="1290" max="1290" width="13.28515625" style="651" customWidth="1"/>
    <col min="1291" max="1292" width="9.140625" style="651"/>
    <col min="1293" max="1293" width="14.85546875" style="651" customWidth="1"/>
    <col min="1294" max="1537" width="9.140625" style="651"/>
    <col min="1538" max="1538" width="20.42578125" style="651" customWidth="1"/>
    <col min="1539" max="1539" width="14.85546875" style="651" customWidth="1"/>
    <col min="1540" max="1540" width="13.85546875" style="651" customWidth="1"/>
    <col min="1541" max="1541" width="15.28515625" style="651" customWidth="1"/>
    <col min="1542" max="1542" width="20.7109375" style="651" customWidth="1"/>
    <col min="1543" max="1543" width="9.140625" style="651"/>
    <col min="1544" max="1544" width="14.85546875" style="651" bestFit="1" customWidth="1"/>
    <col min="1545" max="1545" width="14" style="651" customWidth="1"/>
    <col min="1546" max="1546" width="13.28515625" style="651" customWidth="1"/>
    <col min="1547" max="1548" width="9.140625" style="651"/>
    <col min="1549" max="1549" width="14.85546875" style="651" customWidth="1"/>
    <col min="1550" max="1793" width="9.140625" style="651"/>
    <col min="1794" max="1794" width="20.42578125" style="651" customWidth="1"/>
    <col min="1795" max="1795" width="14.85546875" style="651" customWidth="1"/>
    <col min="1796" max="1796" width="13.85546875" style="651" customWidth="1"/>
    <col min="1797" max="1797" width="15.28515625" style="651" customWidth="1"/>
    <col min="1798" max="1798" width="20.7109375" style="651" customWidth="1"/>
    <col min="1799" max="1799" width="9.140625" style="651"/>
    <col min="1800" max="1800" width="14.85546875" style="651" bestFit="1" customWidth="1"/>
    <col min="1801" max="1801" width="14" style="651" customWidth="1"/>
    <col min="1802" max="1802" width="13.28515625" style="651" customWidth="1"/>
    <col min="1803" max="1804" width="9.140625" style="651"/>
    <col min="1805" max="1805" width="14.85546875" style="651" customWidth="1"/>
    <col min="1806" max="2049" width="9.140625" style="651"/>
    <col min="2050" max="2050" width="20.42578125" style="651" customWidth="1"/>
    <col min="2051" max="2051" width="14.85546875" style="651" customWidth="1"/>
    <col min="2052" max="2052" width="13.85546875" style="651" customWidth="1"/>
    <col min="2053" max="2053" width="15.28515625" style="651" customWidth="1"/>
    <col min="2054" max="2054" width="20.7109375" style="651" customWidth="1"/>
    <col min="2055" max="2055" width="9.140625" style="651"/>
    <col min="2056" max="2056" width="14.85546875" style="651" bestFit="1" customWidth="1"/>
    <col min="2057" max="2057" width="14" style="651" customWidth="1"/>
    <col min="2058" max="2058" width="13.28515625" style="651" customWidth="1"/>
    <col min="2059" max="2060" width="9.140625" style="651"/>
    <col min="2061" max="2061" width="14.85546875" style="651" customWidth="1"/>
    <col min="2062" max="2305" width="9.140625" style="651"/>
    <col min="2306" max="2306" width="20.42578125" style="651" customWidth="1"/>
    <col min="2307" max="2307" width="14.85546875" style="651" customWidth="1"/>
    <col min="2308" max="2308" width="13.85546875" style="651" customWidth="1"/>
    <col min="2309" max="2309" width="15.28515625" style="651" customWidth="1"/>
    <col min="2310" max="2310" width="20.7109375" style="651" customWidth="1"/>
    <col min="2311" max="2311" width="9.140625" style="651"/>
    <col min="2312" max="2312" width="14.85546875" style="651" bestFit="1" customWidth="1"/>
    <col min="2313" max="2313" width="14" style="651" customWidth="1"/>
    <col min="2314" max="2314" width="13.28515625" style="651" customWidth="1"/>
    <col min="2315" max="2316" width="9.140625" style="651"/>
    <col min="2317" max="2317" width="14.85546875" style="651" customWidth="1"/>
    <col min="2318" max="2561" width="9.140625" style="651"/>
    <col min="2562" max="2562" width="20.42578125" style="651" customWidth="1"/>
    <col min="2563" max="2563" width="14.85546875" style="651" customWidth="1"/>
    <col min="2564" max="2564" width="13.85546875" style="651" customWidth="1"/>
    <col min="2565" max="2565" width="15.28515625" style="651" customWidth="1"/>
    <col min="2566" max="2566" width="20.7109375" style="651" customWidth="1"/>
    <col min="2567" max="2567" width="9.140625" style="651"/>
    <col min="2568" max="2568" width="14.85546875" style="651" bestFit="1" customWidth="1"/>
    <col min="2569" max="2569" width="14" style="651" customWidth="1"/>
    <col min="2570" max="2570" width="13.28515625" style="651" customWidth="1"/>
    <col min="2571" max="2572" width="9.140625" style="651"/>
    <col min="2573" max="2573" width="14.85546875" style="651" customWidth="1"/>
    <col min="2574" max="2817" width="9.140625" style="651"/>
    <col min="2818" max="2818" width="20.42578125" style="651" customWidth="1"/>
    <col min="2819" max="2819" width="14.85546875" style="651" customWidth="1"/>
    <col min="2820" max="2820" width="13.85546875" style="651" customWidth="1"/>
    <col min="2821" max="2821" width="15.28515625" style="651" customWidth="1"/>
    <col min="2822" max="2822" width="20.7109375" style="651" customWidth="1"/>
    <col min="2823" max="2823" width="9.140625" style="651"/>
    <col min="2824" max="2824" width="14.85546875" style="651" bestFit="1" customWidth="1"/>
    <col min="2825" max="2825" width="14" style="651" customWidth="1"/>
    <col min="2826" max="2826" width="13.28515625" style="651" customWidth="1"/>
    <col min="2827" max="2828" width="9.140625" style="651"/>
    <col min="2829" max="2829" width="14.85546875" style="651" customWidth="1"/>
    <col min="2830" max="3073" width="9.140625" style="651"/>
    <col min="3074" max="3074" width="20.42578125" style="651" customWidth="1"/>
    <col min="3075" max="3075" width="14.85546875" style="651" customWidth="1"/>
    <col min="3076" max="3076" width="13.85546875" style="651" customWidth="1"/>
    <col min="3077" max="3077" width="15.28515625" style="651" customWidth="1"/>
    <col min="3078" max="3078" width="20.7109375" style="651" customWidth="1"/>
    <col min="3079" max="3079" width="9.140625" style="651"/>
    <col min="3080" max="3080" width="14.85546875" style="651" bestFit="1" customWidth="1"/>
    <col min="3081" max="3081" width="14" style="651" customWidth="1"/>
    <col min="3082" max="3082" width="13.28515625" style="651" customWidth="1"/>
    <col min="3083" max="3084" width="9.140625" style="651"/>
    <col min="3085" max="3085" width="14.85546875" style="651" customWidth="1"/>
    <col min="3086" max="3329" width="9.140625" style="651"/>
    <col min="3330" max="3330" width="20.42578125" style="651" customWidth="1"/>
    <col min="3331" max="3331" width="14.85546875" style="651" customWidth="1"/>
    <col min="3332" max="3332" width="13.85546875" style="651" customWidth="1"/>
    <col min="3333" max="3333" width="15.28515625" style="651" customWidth="1"/>
    <col min="3334" max="3334" width="20.7109375" style="651" customWidth="1"/>
    <col min="3335" max="3335" width="9.140625" style="651"/>
    <col min="3336" max="3336" width="14.85546875" style="651" bestFit="1" customWidth="1"/>
    <col min="3337" max="3337" width="14" style="651" customWidth="1"/>
    <col min="3338" max="3338" width="13.28515625" style="651" customWidth="1"/>
    <col min="3339" max="3340" width="9.140625" style="651"/>
    <col min="3341" max="3341" width="14.85546875" style="651" customWidth="1"/>
    <col min="3342" max="3585" width="9.140625" style="651"/>
    <col min="3586" max="3586" width="20.42578125" style="651" customWidth="1"/>
    <col min="3587" max="3587" width="14.85546875" style="651" customWidth="1"/>
    <col min="3588" max="3588" width="13.85546875" style="651" customWidth="1"/>
    <col min="3589" max="3589" width="15.28515625" style="651" customWidth="1"/>
    <col min="3590" max="3590" width="20.7109375" style="651" customWidth="1"/>
    <col min="3591" max="3591" width="9.140625" style="651"/>
    <col min="3592" max="3592" width="14.85546875" style="651" bestFit="1" customWidth="1"/>
    <col min="3593" max="3593" width="14" style="651" customWidth="1"/>
    <col min="3594" max="3594" width="13.28515625" style="651" customWidth="1"/>
    <col min="3595" max="3596" width="9.140625" style="651"/>
    <col min="3597" max="3597" width="14.85546875" style="651" customWidth="1"/>
    <col min="3598" max="3841" width="9.140625" style="651"/>
    <col min="3842" max="3842" width="20.42578125" style="651" customWidth="1"/>
    <col min="3843" max="3843" width="14.85546875" style="651" customWidth="1"/>
    <col min="3844" max="3844" width="13.85546875" style="651" customWidth="1"/>
    <col min="3845" max="3845" width="15.28515625" style="651" customWidth="1"/>
    <col min="3846" max="3846" width="20.7109375" style="651" customWidth="1"/>
    <col min="3847" max="3847" width="9.140625" style="651"/>
    <col min="3848" max="3848" width="14.85546875" style="651" bestFit="1" customWidth="1"/>
    <col min="3849" max="3849" width="14" style="651" customWidth="1"/>
    <col min="3850" max="3850" width="13.28515625" style="651" customWidth="1"/>
    <col min="3851" max="3852" width="9.140625" style="651"/>
    <col min="3853" max="3853" width="14.85546875" style="651" customWidth="1"/>
    <col min="3854" max="4097" width="9.140625" style="651"/>
    <col min="4098" max="4098" width="20.42578125" style="651" customWidth="1"/>
    <col min="4099" max="4099" width="14.85546875" style="651" customWidth="1"/>
    <col min="4100" max="4100" width="13.85546875" style="651" customWidth="1"/>
    <col min="4101" max="4101" width="15.28515625" style="651" customWidth="1"/>
    <col min="4102" max="4102" width="20.7109375" style="651" customWidth="1"/>
    <col min="4103" max="4103" width="9.140625" style="651"/>
    <col min="4104" max="4104" width="14.85546875" style="651" bestFit="1" customWidth="1"/>
    <col min="4105" max="4105" width="14" style="651" customWidth="1"/>
    <col min="4106" max="4106" width="13.28515625" style="651" customWidth="1"/>
    <col min="4107" max="4108" width="9.140625" style="651"/>
    <col min="4109" max="4109" width="14.85546875" style="651" customWidth="1"/>
    <col min="4110" max="4353" width="9.140625" style="651"/>
    <col min="4354" max="4354" width="20.42578125" style="651" customWidth="1"/>
    <col min="4355" max="4355" width="14.85546875" style="651" customWidth="1"/>
    <col min="4356" max="4356" width="13.85546875" style="651" customWidth="1"/>
    <col min="4357" max="4357" width="15.28515625" style="651" customWidth="1"/>
    <col min="4358" max="4358" width="20.7109375" style="651" customWidth="1"/>
    <col min="4359" max="4359" width="9.140625" style="651"/>
    <col min="4360" max="4360" width="14.85546875" style="651" bestFit="1" customWidth="1"/>
    <col min="4361" max="4361" width="14" style="651" customWidth="1"/>
    <col min="4362" max="4362" width="13.28515625" style="651" customWidth="1"/>
    <col min="4363" max="4364" width="9.140625" style="651"/>
    <col min="4365" max="4365" width="14.85546875" style="651" customWidth="1"/>
    <col min="4366" max="4609" width="9.140625" style="651"/>
    <col min="4610" max="4610" width="20.42578125" style="651" customWidth="1"/>
    <col min="4611" max="4611" width="14.85546875" style="651" customWidth="1"/>
    <col min="4612" max="4612" width="13.85546875" style="651" customWidth="1"/>
    <col min="4613" max="4613" width="15.28515625" style="651" customWidth="1"/>
    <col min="4614" max="4614" width="20.7109375" style="651" customWidth="1"/>
    <col min="4615" max="4615" width="9.140625" style="651"/>
    <col min="4616" max="4616" width="14.85546875" style="651" bestFit="1" customWidth="1"/>
    <col min="4617" max="4617" width="14" style="651" customWidth="1"/>
    <col min="4618" max="4618" width="13.28515625" style="651" customWidth="1"/>
    <col min="4619" max="4620" width="9.140625" style="651"/>
    <col min="4621" max="4621" width="14.85546875" style="651" customWidth="1"/>
    <col min="4622" max="4865" width="9.140625" style="651"/>
    <col min="4866" max="4866" width="20.42578125" style="651" customWidth="1"/>
    <col min="4867" max="4867" width="14.85546875" style="651" customWidth="1"/>
    <col min="4868" max="4868" width="13.85546875" style="651" customWidth="1"/>
    <col min="4869" max="4869" width="15.28515625" style="651" customWidth="1"/>
    <col min="4870" max="4870" width="20.7109375" style="651" customWidth="1"/>
    <col min="4871" max="4871" width="9.140625" style="651"/>
    <col min="4872" max="4872" width="14.85546875" style="651" bestFit="1" customWidth="1"/>
    <col min="4873" max="4873" width="14" style="651" customWidth="1"/>
    <col min="4874" max="4874" width="13.28515625" style="651" customWidth="1"/>
    <col min="4875" max="4876" width="9.140625" style="651"/>
    <col min="4877" max="4877" width="14.85546875" style="651" customWidth="1"/>
    <col min="4878" max="5121" width="9.140625" style="651"/>
    <col min="5122" max="5122" width="20.42578125" style="651" customWidth="1"/>
    <col min="5123" max="5123" width="14.85546875" style="651" customWidth="1"/>
    <col min="5124" max="5124" width="13.85546875" style="651" customWidth="1"/>
    <col min="5125" max="5125" width="15.28515625" style="651" customWidth="1"/>
    <col min="5126" max="5126" width="20.7109375" style="651" customWidth="1"/>
    <col min="5127" max="5127" width="9.140625" style="651"/>
    <col min="5128" max="5128" width="14.85546875" style="651" bestFit="1" customWidth="1"/>
    <col min="5129" max="5129" width="14" style="651" customWidth="1"/>
    <col min="5130" max="5130" width="13.28515625" style="651" customWidth="1"/>
    <col min="5131" max="5132" width="9.140625" style="651"/>
    <col min="5133" max="5133" width="14.85546875" style="651" customWidth="1"/>
    <col min="5134" max="5377" width="9.140625" style="651"/>
    <col min="5378" max="5378" width="20.42578125" style="651" customWidth="1"/>
    <col min="5379" max="5379" width="14.85546875" style="651" customWidth="1"/>
    <col min="5380" max="5380" width="13.85546875" style="651" customWidth="1"/>
    <col min="5381" max="5381" width="15.28515625" style="651" customWidth="1"/>
    <col min="5382" max="5382" width="20.7109375" style="651" customWidth="1"/>
    <col min="5383" max="5383" width="9.140625" style="651"/>
    <col min="5384" max="5384" width="14.85546875" style="651" bestFit="1" customWidth="1"/>
    <col min="5385" max="5385" width="14" style="651" customWidth="1"/>
    <col min="5386" max="5386" width="13.28515625" style="651" customWidth="1"/>
    <col min="5387" max="5388" width="9.140625" style="651"/>
    <col min="5389" max="5389" width="14.85546875" style="651" customWidth="1"/>
    <col min="5390" max="5633" width="9.140625" style="651"/>
    <col min="5634" max="5634" width="20.42578125" style="651" customWidth="1"/>
    <col min="5635" max="5635" width="14.85546875" style="651" customWidth="1"/>
    <col min="5636" max="5636" width="13.85546875" style="651" customWidth="1"/>
    <col min="5637" max="5637" width="15.28515625" style="651" customWidth="1"/>
    <col min="5638" max="5638" width="20.7109375" style="651" customWidth="1"/>
    <col min="5639" max="5639" width="9.140625" style="651"/>
    <col min="5640" max="5640" width="14.85546875" style="651" bestFit="1" customWidth="1"/>
    <col min="5641" max="5641" width="14" style="651" customWidth="1"/>
    <col min="5642" max="5642" width="13.28515625" style="651" customWidth="1"/>
    <col min="5643" max="5644" width="9.140625" style="651"/>
    <col min="5645" max="5645" width="14.85546875" style="651" customWidth="1"/>
    <col min="5646" max="5889" width="9.140625" style="651"/>
    <col min="5890" max="5890" width="20.42578125" style="651" customWidth="1"/>
    <col min="5891" max="5891" width="14.85546875" style="651" customWidth="1"/>
    <col min="5892" max="5892" width="13.85546875" style="651" customWidth="1"/>
    <col min="5893" max="5893" width="15.28515625" style="651" customWidth="1"/>
    <col min="5894" max="5894" width="20.7109375" style="651" customWidth="1"/>
    <col min="5895" max="5895" width="9.140625" style="651"/>
    <col min="5896" max="5896" width="14.85546875" style="651" bestFit="1" customWidth="1"/>
    <col min="5897" max="5897" width="14" style="651" customWidth="1"/>
    <col min="5898" max="5898" width="13.28515625" style="651" customWidth="1"/>
    <col min="5899" max="5900" width="9.140625" style="651"/>
    <col min="5901" max="5901" width="14.85546875" style="651" customWidth="1"/>
    <col min="5902" max="6145" width="9.140625" style="651"/>
    <col min="6146" max="6146" width="20.42578125" style="651" customWidth="1"/>
    <col min="6147" max="6147" width="14.85546875" style="651" customWidth="1"/>
    <col min="6148" max="6148" width="13.85546875" style="651" customWidth="1"/>
    <col min="6149" max="6149" width="15.28515625" style="651" customWidth="1"/>
    <col min="6150" max="6150" width="20.7109375" style="651" customWidth="1"/>
    <col min="6151" max="6151" width="9.140625" style="651"/>
    <col min="6152" max="6152" width="14.85546875" style="651" bestFit="1" customWidth="1"/>
    <col min="6153" max="6153" width="14" style="651" customWidth="1"/>
    <col min="6154" max="6154" width="13.28515625" style="651" customWidth="1"/>
    <col min="6155" max="6156" width="9.140625" style="651"/>
    <col min="6157" max="6157" width="14.85546875" style="651" customWidth="1"/>
    <col min="6158" max="6401" width="9.140625" style="651"/>
    <col min="6402" max="6402" width="20.42578125" style="651" customWidth="1"/>
    <col min="6403" max="6403" width="14.85546875" style="651" customWidth="1"/>
    <col min="6404" max="6404" width="13.85546875" style="651" customWidth="1"/>
    <col min="6405" max="6405" width="15.28515625" style="651" customWidth="1"/>
    <col min="6406" max="6406" width="20.7109375" style="651" customWidth="1"/>
    <col min="6407" max="6407" width="9.140625" style="651"/>
    <col min="6408" max="6408" width="14.85546875" style="651" bestFit="1" customWidth="1"/>
    <col min="6409" max="6409" width="14" style="651" customWidth="1"/>
    <col min="6410" max="6410" width="13.28515625" style="651" customWidth="1"/>
    <col min="6411" max="6412" width="9.140625" style="651"/>
    <col min="6413" max="6413" width="14.85546875" style="651" customWidth="1"/>
    <col min="6414" max="6657" width="9.140625" style="651"/>
    <col min="6658" max="6658" width="20.42578125" style="651" customWidth="1"/>
    <col min="6659" max="6659" width="14.85546875" style="651" customWidth="1"/>
    <col min="6660" max="6660" width="13.85546875" style="651" customWidth="1"/>
    <col min="6661" max="6661" width="15.28515625" style="651" customWidth="1"/>
    <col min="6662" max="6662" width="20.7109375" style="651" customWidth="1"/>
    <col min="6663" max="6663" width="9.140625" style="651"/>
    <col min="6664" max="6664" width="14.85546875" style="651" bestFit="1" customWidth="1"/>
    <col min="6665" max="6665" width="14" style="651" customWidth="1"/>
    <col min="6666" max="6666" width="13.28515625" style="651" customWidth="1"/>
    <col min="6667" max="6668" width="9.140625" style="651"/>
    <col min="6669" max="6669" width="14.85546875" style="651" customWidth="1"/>
    <col min="6670" max="6913" width="9.140625" style="651"/>
    <col min="6914" max="6914" width="20.42578125" style="651" customWidth="1"/>
    <col min="6915" max="6915" width="14.85546875" style="651" customWidth="1"/>
    <col min="6916" max="6916" width="13.85546875" style="651" customWidth="1"/>
    <col min="6917" max="6917" width="15.28515625" style="651" customWidth="1"/>
    <col min="6918" max="6918" width="20.7109375" style="651" customWidth="1"/>
    <col min="6919" max="6919" width="9.140625" style="651"/>
    <col min="6920" max="6920" width="14.85546875" style="651" bestFit="1" customWidth="1"/>
    <col min="6921" max="6921" width="14" style="651" customWidth="1"/>
    <col min="6922" max="6922" width="13.28515625" style="651" customWidth="1"/>
    <col min="6923" max="6924" width="9.140625" style="651"/>
    <col min="6925" max="6925" width="14.85546875" style="651" customWidth="1"/>
    <col min="6926" max="7169" width="9.140625" style="651"/>
    <col min="7170" max="7170" width="20.42578125" style="651" customWidth="1"/>
    <col min="7171" max="7171" width="14.85546875" style="651" customWidth="1"/>
    <col min="7172" max="7172" width="13.85546875" style="651" customWidth="1"/>
    <col min="7173" max="7173" width="15.28515625" style="651" customWidth="1"/>
    <col min="7174" max="7174" width="20.7109375" style="651" customWidth="1"/>
    <col min="7175" max="7175" width="9.140625" style="651"/>
    <col min="7176" max="7176" width="14.85546875" style="651" bestFit="1" customWidth="1"/>
    <col min="7177" max="7177" width="14" style="651" customWidth="1"/>
    <col min="7178" max="7178" width="13.28515625" style="651" customWidth="1"/>
    <col min="7179" max="7180" width="9.140625" style="651"/>
    <col min="7181" max="7181" width="14.85546875" style="651" customWidth="1"/>
    <col min="7182" max="7425" width="9.140625" style="651"/>
    <col min="7426" max="7426" width="20.42578125" style="651" customWidth="1"/>
    <col min="7427" max="7427" width="14.85546875" style="651" customWidth="1"/>
    <col min="7428" max="7428" width="13.85546875" style="651" customWidth="1"/>
    <col min="7429" max="7429" width="15.28515625" style="651" customWidth="1"/>
    <col min="7430" max="7430" width="20.7109375" style="651" customWidth="1"/>
    <col min="7431" max="7431" width="9.140625" style="651"/>
    <col min="7432" max="7432" width="14.85546875" style="651" bestFit="1" customWidth="1"/>
    <col min="7433" max="7433" width="14" style="651" customWidth="1"/>
    <col min="7434" max="7434" width="13.28515625" style="651" customWidth="1"/>
    <col min="7435" max="7436" width="9.140625" style="651"/>
    <col min="7437" max="7437" width="14.85546875" style="651" customWidth="1"/>
    <col min="7438" max="7681" width="9.140625" style="651"/>
    <col min="7682" max="7682" width="20.42578125" style="651" customWidth="1"/>
    <col min="7683" max="7683" width="14.85546875" style="651" customWidth="1"/>
    <col min="7684" max="7684" width="13.85546875" style="651" customWidth="1"/>
    <col min="7685" max="7685" width="15.28515625" style="651" customWidth="1"/>
    <col min="7686" max="7686" width="20.7109375" style="651" customWidth="1"/>
    <col min="7687" max="7687" width="9.140625" style="651"/>
    <col min="7688" max="7688" width="14.85546875" style="651" bestFit="1" customWidth="1"/>
    <col min="7689" max="7689" width="14" style="651" customWidth="1"/>
    <col min="7690" max="7690" width="13.28515625" style="651" customWidth="1"/>
    <col min="7691" max="7692" width="9.140625" style="651"/>
    <col min="7693" max="7693" width="14.85546875" style="651" customWidth="1"/>
    <col min="7694" max="7937" width="9.140625" style="651"/>
    <col min="7938" max="7938" width="20.42578125" style="651" customWidth="1"/>
    <col min="7939" max="7939" width="14.85546875" style="651" customWidth="1"/>
    <col min="7940" max="7940" width="13.85546875" style="651" customWidth="1"/>
    <col min="7941" max="7941" width="15.28515625" style="651" customWidth="1"/>
    <col min="7942" max="7942" width="20.7109375" style="651" customWidth="1"/>
    <col min="7943" max="7943" width="9.140625" style="651"/>
    <col min="7944" max="7944" width="14.85546875" style="651" bestFit="1" customWidth="1"/>
    <col min="7945" max="7945" width="14" style="651" customWidth="1"/>
    <col min="7946" max="7946" width="13.28515625" style="651" customWidth="1"/>
    <col min="7947" max="7948" width="9.140625" style="651"/>
    <col min="7949" max="7949" width="14.85546875" style="651" customWidth="1"/>
    <col min="7950" max="8193" width="9.140625" style="651"/>
    <col min="8194" max="8194" width="20.42578125" style="651" customWidth="1"/>
    <col min="8195" max="8195" width="14.85546875" style="651" customWidth="1"/>
    <col min="8196" max="8196" width="13.85546875" style="651" customWidth="1"/>
    <col min="8197" max="8197" width="15.28515625" style="651" customWidth="1"/>
    <col min="8198" max="8198" width="20.7109375" style="651" customWidth="1"/>
    <col min="8199" max="8199" width="9.140625" style="651"/>
    <col min="8200" max="8200" width="14.85546875" style="651" bestFit="1" customWidth="1"/>
    <col min="8201" max="8201" width="14" style="651" customWidth="1"/>
    <col min="8202" max="8202" width="13.28515625" style="651" customWidth="1"/>
    <col min="8203" max="8204" width="9.140625" style="651"/>
    <col min="8205" max="8205" width="14.85546875" style="651" customWidth="1"/>
    <col min="8206" max="8449" width="9.140625" style="651"/>
    <col min="8450" max="8450" width="20.42578125" style="651" customWidth="1"/>
    <col min="8451" max="8451" width="14.85546875" style="651" customWidth="1"/>
    <col min="8452" max="8452" width="13.85546875" style="651" customWidth="1"/>
    <col min="8453" max="8453" width="15.28515625" style="651" customWidth="1"/>
    <col min="8454" max="8454" width="20.7109375" style="651" customWidth="1"/>
    <col min="8455" max="8455" width="9.140625" style="651"/>
    <col min="8456" max="8456" width="14.85546875" style="651" bestFit="1" customWidth="1"/>
    <col min="8457" max="8457" width="14" style="651" customWidth="1"/>
    <col min="8458" max="8458" width="13.28515625" style="651" customWidth="1"/>
    <col min="8459" max="8460" width="9.140625" style="651"/>
    <col min="8461" max="8461" width="14.85546875" style="651" customWidth="1"/>
    <col min="8462" max="8705" width="9.140625" style="651"/>
    <col min="8706" max="8706" width="20.42578125" style="651" customWidth="1"/>
    <col min="8707" max="8707" width="14.85546875" style="651" customWidth="1"/>
    <col min="8708" max="8708" width="13.85546875" style="651" customWidth="1"/>
    <col min="8709" max="8709" width="15.28515625" style="651" customWidth="1"/>
    <col min="8710" max="8710" width="20.7109375" style="651" customWidth="1"/>
    <col min="8711" max="8711" width="9.140625" style="651"/>
    <col min="8712" max="8712" width="14.85546875" style="651" bestFit="1" customWidth="1"/>
    <col min="8713" max="8713" width="14" style="651" customWidth="1"/>
    <col min="8714" max="8714" width="13.28515625" style="651" customWidth="1"/>
    <col min="8715" max="8716" width="9.140625" style="651"/>
    <col min="8717" max="8717" width="14.85546875" style="651" customWidth="1"/>
    <col min="8718" max="8961" width="9.140625" style="651"/>
    <col min="8962" max="8962" width="20.42578125" style="651" customWidth="1"/>
    <col min="8963" max="8963" width="14.85546875" style="651" customWidth="1"/>
    <col min="8964" max="8964" width="13.85546875" style="651" customWidth="1"/>
    <col min="8965" max="8965" width="15.28515625" style="651" customWidth="1"/>
    <col min="8966" max="8966" width="20.7109375" style="651" customWidth="1"/>
    <col min="8967" max="8967" width="9.140625" style="651"/>
    <col min="8968" max="8968" width="14.85546875" style="651" bestFit="1" customWidth="1"/>
    <col min="8969" max="8969" width="14" style="651" customWidth="1"/>
    <col min="8970" max="8970" width="13.28515625" style="651" customWidth="1"/>
    <col min="8971" max="8972" width="9.140625" style="651"/>
    <col min="8973" max="8973" width="14.85546875" style="651" customWidth="1"/>
    <col min="8974" max="9217" width="9.140625" style="651"/>
    <col min="9218" max="9218" width="20.42578125" style="651" customWidth="1"/>
    <col min="9219" max="9219" width="14.85546875" style="651" customWidth="1"/>
    <col min="9220" max="9220" width="13.85546875" style="651" customWidth="1"/>
    <col min="9221" max="9221" width="15.28515625" style="651" customWidth="1"/>
    <col min="9222" max="9222" width="20.7109375" style="651" customWidth="1"/>
    <col min="9223" max="9223" width="9.140625" style="651"/>
    <col min="9224" max="9224" width="14.85546875" style="651" bestFit="1" customWidth="1"/>
    <col min="9225" max="9225" width="14" style="651" customWidth="1"/>
    <col min="9226" max="9226" width="13.28515625" style="651" customWidth="1"/>
    <col min="9227" max="9228" width="9.140625" style="651"/>
    <col min="9229" max="9229" width="14.85546875" style="651" customWidth="1"/>
    <col min="9230" max="9473" width="9.140625" style="651"/>
    <col min="9474" max="9474" width="20.42578125" style="651" customWidth="1"/>
    <col min="9475" max="9475" width="14.85546875" style="651" customWidth="1"/>
    <col min="9476" max="9476" width="13.85546875" style="651" customWidth="1"/>
    <col min="9477" max="9477" width="15.28515625" style="651" customWidth="1"/>
    <col min="9478" max="9478" width="20.7109375" style="651" customWidth="1"/>
    <col min="9479" max="9479" width="9.140625" style="651"/>
    <col min="9480" max="9480" width="14.85546875" style="651" bestFit="1" customWidth="1"/>
    <col min="9481" max="9481" width="14" style="651" customWidth="1"/>
    <col min="9482" max="9482" width="13.28515625" style="651" customWidth="1"/>
    <col min="9483" max="9484" width="9.140625" style="651"/>
    <col min="9485" max="9485" width="14.85546875" style="651" customWidth="1"/>
    <col min="9486" max="9729" width="9.140625" style="651"/>
    <col min="9730" max="9730" width="20.42578125" style="651" customWidth="1"/>
    <col min="9731" max="9731" width="14.85546875" style="651" customWidth="1"/>
    <col min="9732" max="9732" width="13.85546875" style="651" customWidth="1"/>
    <col min="9733" max="9733" width="15.28515625" style="651" customWidth="1"/>
    <col min="9734" max="9734" width="20.7109375" style="651" customWidth="1"/>
    <col min="9735" max="9735" width="9.140625" style="651"/>
    <col min="9736" max="9736" width="14.85546875" style="651" bestFit="1" customWidth="1"/>
    <col min="9737" max="9737" width="14" style="651" customWidth="1"/>
    <col min="9738" max="9738" width="13.28515625" style="651" customWidth="1"/>
    <col min="9739" max="9740" width="9.140625" style="651"/>
    <col min="9741" max="9741" width="14.85546875" style="651" customWidth="1"/>
    <col min="9742" max="9985" width="9.140625" style="651"/>
    <col min="9986" max="9986" width="20.42578125" style="651" customWidth="1"/>
    <col min="9987" max="9987" width="14.85546875" style="651" customWidth="1"/>
    <col min="9988" max="9988" width="13.85546875" style="651" customWidth="1"/>
    <col min="9989" max="9989" width="15.28515625" style="651" customWidth="1"/>
    <col min="9990" max="9990" width="20.7109375" style="651" customWidth="1"/>
    <col min="9991" max="9991" width="9.140625" style="651"/>
    <col min="9992" max="9992" width="14.85546875" style="651" bestFit="1" customWidth="1"/>
    <col min="9993" max="9993" width="14" style="651" customWidth="1"/>
    <col min="9994" max="9994" width="13.28515625" style="651" customWidth="1"/>
    <col min="9995" max="9996" width="9.140625" style="651"/>
    <col min="9997" max="9997" width="14.85546875" style="651" customWidth="1"/>
    <col min="9998" max="10241" width="9.140625" style="651"/>
    <col min="10242" max="10242" width="20.42578125" style="651" customWidth="1"/>
    <col min="10243" max="10243" width="14.85546875" style="651" customWidth="1"/>
    <col min="10244" max="10244" width="13.85546875" style="651" customWidth="1"/>
    <col min="10245" max="10245" width="15.28515625" style="651" customWidth="1"/>
    <col min="10246" max="10246" width="20.7109375" style="651" customWidth="1"/>
    <col min="10247" max="10247" width="9.140625" style="651"/>
    <col min="10248" max="10248" width="14.85546875" style="651" bestFit="1" customWidth="1"/>
    <col min="10249" max="10249" width="14" style="651" customWidth="1"/>
    <col min="10250" max="10250" width="13.28515625" style="651" customWidth="1"/>
    <col min="10251" max="10252" width="9.140625" style="651"/>
    <col min="10253" max="10253" width="14.85546875" style="651" customWidth="1"/>
    <col min="10254" max="10497" width="9.140625" style="651"/>
    <col min="10498" max="10498" width="20.42578125" style="651" customWidth="1"/>
    <col min="10499" max="10499" width="14.85546875" style="651" customWidth="1"/>
    <col min="10500" max="10500" width="13.85546875" style="651" customWidth="1"/>
    <col min="10501" max="10501" width="15.28515625" style="651" customWidth="1"/>
    <col min="10502" max="10502" width="20.7109375" style="651" customWidth="1"/>
    <col min="10503" max="10503" width="9.140625" style="651"/>
    <col min="10504" max="10504" width="14.85546875" style="651" bestFit="1" customWidth="1"/>
    <col min="10505" max="10505" width="14" style="651" customWidth="1"/>
    <col min="10506" max="10506" width="13.28515625" style="651" customWidth="1"/>
    <col min="10507" max="10508" width="9.140625" style="651"/>
    <col min="10509" max="10509" width="14.85546875" style="651" customWidth="1"/>
    <col min="10510" max="10753" width="9.140625" style="651"/>
    <col min="10754" max="10754" width="20.42578125" style="651" customWidth="1"/>
    <col min="10755" max="10755" width="14.85546875" style="651" customWidth="1"/>
    <col min="10756" max="10756" width="13.85546875" style="651" customWidth="1"/>
    <col min="10757" max="10757" width="15.28515625" style="651" customWidth="1"/>
    <col min="10758" max="10758" width="20.7109375" style="651" customWidth="1"/>
    <col min="10759" max="10759" width="9.140625" style="651"/>
    <col min="10760" max="10760" width="14.85546875" style="651" bestFit="1" customWidth="1"/>
    <col min="10761" max="10761" width="14" style="651" customWidth="1"/>
    <col min="10762" max="10762" width="13.28515625" style="651" customWidth="1"/>
    <col min="10763" max="10764" width="9.140625" style="651"/>
    <col min="10765" max="10765" width="14.85546875" style="651" customWidth="1"/>
    <col min="10766" max="11009" width="9.140625" style="651"/>
    <col min="11010" max="11010" width="20.42578125" style="651" customWidth="1"/>
    <col min="11011" max="11011" width="14.85546875" style="651" customWidth="1"/>
    <col min="11012" max="11012" width="13.85546875" style="651" customWidth="1"/>
    <col min="11013" max="11013" width="15.28515625" style="651" customWidth="1"/>
    <col min="11014" max="11014" width="20.7109375" style="651" customWidth="1"/>
    <col min="11015" max="11015" width="9.140625" style="651"/>
    <col min="11016" max="11016" width="14.85546875" style="651" bestFit="1" customWidth="1"/>
    <col min="11017" max="11017" width="14" style="651" customWidth="1"/>
    <col min="11018" max="11018" width="13.28515625" style="651" customWidth="1"/>
    <col min="11019" max="11020" width="9.140625" style="651"/>
    <col min="11021" max="11021" width="14.85546875" style="651" customWidth="1"/>
    <col min="11022" max="11265" width="9.140625" style="651"/>
    <col min="11266" max="11266" width="20.42578125" style="651" customWidth="1"/>
    <col min="11267" max="11267" width="14.85546875" style="651" customWidth="1"/>
    <col min="11268" max="11268" width="13.85546875" style="651" customWidth="1"/>
    <col min="11269" max="11269" width="15.28515625" style="651" customWidth="1"/>
    <col min="11270" max="11270" width="20.7109375" style="651" customWidth="1"/>
    <col min="11271" max="11271" width="9.140625" style="651"/>
    <col min="11272" max="11272" width="14.85546875" style="651" bestFit="1" customWidth="1"/>
    <col min="11273" max="11273" width="14" style="651" customWidth="1"/>
    <col min="11274" max="11274" width="13.28515625" style="651" customWidth="1"/>
    <col min="11275" max="11276" width="9.140625" style="651"/>
    <col min="11277" max="11277" width="14.85546875" style="651" customWidth="1"/>
    <col min="11278" max="11521" width="9.140625" style="651"/>
    <col min="11522" max="11522" width="20.42578125" style="651" customWidth="1"/>
    <col min="11523" max="11523" width="14.85546875" style="651" customWidth="1"/>
    <col min="11524" max="11524" width="13.85546875" style="651" customWidth="1"/>
    <col min="11525" max="11525" width="15.28515625" style="651" customWidth="1"/>
    <col min="11526" max="11526" width="20.7109375" style="651" customWidth="1"/>
    <col min="11527" max="11527" width="9.140625" style="651"/>
    <col min="11528" max="11528" width="14.85546875" style="651" bestFit="1" customWidth="1"/>
    <col min="11529" max="11529" width="14" style="651" customWidth="1"/>
    <col min="11530" max="11530" width="13.28515625" style="651" customWidth="1"/>
    <col min="11531" max="11532" width="9.140625" style="651"/>
    <col min="11533" max="11533" width="14.85546875" style="651" customWidth="1"/>
    <col min="11534" max="11777" width="9.140625" style="651"/>
    <col min="11778" max="11778" width="20.42578125" style="651" customWidth="1"/>
    <col min="11779" max="11779" width="14.85546875" style="651" customWidth="1"/>
    <col min="11780" max="11780" width="13.85546875" style="651" customWidth="1"/>
    <col min="11781" max="11781" width="15.28515625" style="651" customWidth="1"/>
    <col min="11782" max="11782" width="20.7109375" style="651" customWidth="1"/>
    <col min="11783" max="11783" width="9.140625" style="651"/>
    <col min="11784" max="11784" width="14.85546875" style="651" bestFit="1" customWidth="1"/>
    <col min="11785" max="11785" width="14" style="651" customWidth="1"/>
    <col min="11786" max="11786" width="13.28515625" style="651" customWidth="1"/>
    <col min="11787" max="11788" width="9.140625" style="651"/>
    <col min="11789" max="11789" width="14.85546875" style="651" customWidth="1"/>
    <col min="11790" max="12033" width="9.140625" style="651"/>
    <col min="12034" max="12034" width="20.42578125" style="651" customWidth="1"/>
    <col min="12035" max="12035" width="14.85546875" style="651" customWidth="1"/>
    <col min="12036" max="12036" width="13.85546875" style="651" customWidth="1"/>
    <col min="12037" max="12037" width="15.28515625" style="651" customWidth="1"/>
    <col min="12038" max="12038" width="20.7109375" style="651" customWidth="1"/>
    <col min="12039" max="12039" width="9.140625" style="651"/>
    <col min="12040" max="12040" width="14.85546875" style="651" bestFit="1" customWidth="1"/>
    <col min="12041" max="12041" width="14" style="651" customWidth="1"/>
    <col min="12042" max="12042" width="13.28515625" style="651" customWidth="1"/>
    <col min="12043" max="12044" width="9.140625" style="651"/>
    <col min="12045" max="12045" width="14.85546875" style="651" customWidth="1"/>
    <col min="12046" max="12289" width="9.140625" style="651"/>
    <col min="12290" max="12290" width="20.42578125" style="651" customWidth="1"/>
    <col min="12291" max="12291" width="14.85546875" style="651" customWidth="1"/>
    <col min="12292" max="12292" width="13.85546875" style="651" customWidth="1"/>
    <col min="12293" max="12293" width="15.28515625" style="651" customWidth="1"/>
    <col min="12294" max="12294" width="20.7109375" style="651" customWidth="1"/>
    <col min="12295" max="12295" width="9.140625" style="651"/>
    <col min="12296" max="12296" width="14.85546875" style="651" bestFit="1" customWidth="1"/>
    <col min="12297" max="12297" width="14" style="651" customWidth="1"/>
    <col min="12298" max="12298" width="13.28515625" style="651" customWidth="1"/>
    <col min="12299" max="12300" width="9.140625" style="651"/>
    <col min="12301" max="12301" width="14.85546875" style="651" customWidth="1"/>
    <col min="12302" max="12545" width="9.140625" style="651"/>
    <col min="12546" max="12546" width="20.42578125" style="651" customWidth="1"/>
    <col min="12547" max="12547" width="14.85546875" style="651" customWidth="1"/>
    <col min="12548" max="12548" width="13.85546875" style="651" customWidth="1"/>
    <col min="12549" max="12549" width="15.28515625" style="651" customWidth="1"/>
    <col min="12550" max="12550" width="20.7109375" style="651" customWidth="1"/>
    <col min="12551" max="12551" width="9.140625" style="651"/>
    <col min="12552" max="12552" width="14.85546875" style="651" bestFit="1" customWidth="1"/>
    <col min="12553" max="12553" width="14" style="651" customWidth="1"/>
    <col min="12554" max="12554" width="13.28515625" style="651" customWidth="1"/>
    <col min="12555" max="12556" width="9.140625" style="651"/>
    <col min="12557" max="12557" width="14.85546875" style="651" customWidth="1"/>
    <col min="12558" max="12801" width="9.140625" style="651"/>
    <col min="12802" max="12802" width="20.42578125" style="651" customWidth="1"/>
    <col min="12803" max="12803" width="14.85546875" style="651" customWidth="1"/>
    <col min="12804" max="12804" width="13.85546875" style="651" customWidth="1"/>
    <col min="12805" max="12805" width="15.28515625" style="651" customWidth="1"/>
    <col min="12806" max="12806" width="20.7109375" style="651" customWidth="1"/>
    <col min="12807" max="12807" width="9.140625" style="651"/>
    <col min="12808" max="12808" width="14.85546875" style="651" bestFit="1" customWidth="1"/>
    <col min="12809" max="12809" width="14" style="651" customWidth="1"/>
    <col min="12810" max="12810" width="13.28515625" style="651" customWidth="1"/>
    <col min="12811" max="12812" width="9.140625" style="651"/>
    <col min="12813" max="12813" width="14.85546875" style="651" customWidth="1"/>
    <col min="12814" max="13057" width="9.140625" style="651"/>
    <col min="13058" max="13058" width="20.42578125" style="651" customWidth="1"/>
    <col min="13059" max="13059" width="14.85546875" style="651" customWidth="1"/>
    <col min="13060" max="13060" width="13.85546875" style="651" customWidth="1"/>
    <col min="13061" max="13061" width="15.28515625" style="651" customWidth="1"/>
    <col min="13062" max="13062" width="20.7109375" style="651" customWidth="1"/>
    <col min="13063" max="13063" width="9.140625" style="651"/>
    <col min="13064" max="13064" width="14.85546875" style="651" bestFit="1" customWidth="1"/>
    <col min="13065" max="13065" width="14" style="651" customWidth="1"/>
    <col min="13066" max="13066" width="13.28515625" style="651" customWidth="1"/>
    <col min="13067" max="13068" width="9.140625" style="651"/>
    <col min="13069" max="13069" width="14.85546875" style="651" customWidth="1"/>
    <col min="13070" max="13313" width="9.140625" style="651"/>
    <col min="13314" max="13314" width="20.42578125" style="651" customWidth="1"/>
    <col min="13315" max="13315" width="14.85546875" style="651" customWidth="1"/>
    <col min="13316" max="13316" width="13.85546875" style="651" customWidth="1"/>
    <col min="13317" max="13317" width="15.28515625" style="651" customWidth="1"/>
    <col min="13318" max="13318" width="20.7109375" style="651" customWidth="1"/>
    <col min="13319" max="13319" width="9.140625" style="651"/>
    <col min="13320" max="13320" width="14.85546875" style="651" bestFit="1" customWidth="1"/>
    <col min="13321" max="13321" width="14" style="651" customWidth="1"/>
    <col min="13322" max="13322" width="13.28515625" style="651" customWidth="1"/>
    <col min="13323" max="13324" width="9.140625" style="651"/>
    <col min="13325" max="13325" width="14.85546875" style="651" customWidth="1"/>
    <col min="13326" max="13569" width="9.140625" style="651"/>
    <col min="13570" max="13570" width="20.42578125" style="651" customWidth="1"/>
    <col min="13571" max="13571" width="14.85546875" style="651" customWidth="1"/>
    <col min="13572" max="13572" width="13.85546875" style="651" customWidth="1"/>
    <col min="13573" max="13573" width="15.28515625" style="651" customWidth="1"/>
    <col min="13574" max="13574" width="20.7109375" style="651" customWidth="1"/>
    <col min="13575" max="13575" width="9.140625" style="651"/>
    <col min="13576" max="13576" width="14.85546875" style="651" bestFit="1" customWidth="1"/>
    <col min="13577" max="13577" width="14" style="651" customWidth="1"/>
    <col min="13578" max="13578" width="13.28515625" style="651" customWidth="1"/>
    <col min="13579" max="13580" width="9.140625" style="651"/>
    <col min="13581" max="13581" width="14.85546875" style="651" customWidth="1"/>
    <col min="13582" max="13825" width="9.140625" style="651"/>
    <col min="13826" max="13826" width="20.42578125" style="651" customWidth="1"/>
    <col min="13827" max="13827" width="14.85546875" style="651" customWidth="1"/>
    <col min="13828" max="13828" width="13.85546875" style="651" customWidth="1"/>
    <col min="13829" max="13829" width="15.28515625" style="651" customWidth="1"/>
    <col min="13830" max="13830" width="20.7109375" style="651" customWidth="1"/>
    <col min="13831" max="13831" width="9.140625" style="651"/>
    <col min="13832" max="13832" width="14.85546875" style="651" bestFit="1" customWidth="1"/>
    <col min="13833" max="13833" width="14" style="651" customWidth="1"/>
    <col min="13834" max="13834" width="13.28515625" style="651" customWidth="1"/>
    <col min="13835" max="13836" width="9.140625" style="651"/>
    <col min="13837" max="13837" width="14.85546875" style="651" customWidth="1"/>
    <col min="13838" max="14081" width="9.140625" style="651"/>
    <col min="14082" max="14082" width="20.42578125" style="651" customWidth="1"/>
    <col min="14083" max="14083" width="14.85546875" style="651" customWidth="1"/>
    <col min="14084" max="14084" width="13.85546875" style="651" customWidth="1"/>
    <col min="14085" max="14085" width="15.28515625" style="651" customWidth="1"/>
    <col min="14086" max="14086" width="20.7109375" style="651" customWidth="1"/>
    <col min="14087" max="14087" width="9.140625" style="651"/>
    <col min="14088" max="14088" width="14.85546875" style="651" bestFit="1" customWidth="1"/>
    <col min="14089" max="14089" width="14" style="651" customWidth="1"/>
    <col min="14090" max="14090" width="13.28515625" style="651" customWidth="1"/>
    <col min="14091" max="14092" width="9.140625" style="651"/>
    <col min="14093" max="14093" width="14.85546875" style="651" customWidth="1"/>
    <col min="14094" max="14337" width="9.140625" style="651"/>
    <col min="14338" max="14338" width="20.42578125" style="651" customWidth="1"/>
    <col min="14339" max="14339" width="14.85546875" style="651" customWidth="1"/>
    <col min="14340" max="14340" width="13.85546875" style="651" customWidth="1"/>
    <col min="14341" max="14341" width="15.28515625" style="651" customWidth="1"/>
    <col min="14342" max="14342" width="20.7109375" style="651" customWidth="1"/>
    <col min="14343" max="14343" width="9.140625" style="651"/>
    <col min="14344" max="14344" width="14.85546875" style="651" bestFit="1" customWidth="1"/>
    <col min="14345" max="14345" width="14" style="651" customWidth="1"/>
    <col min="14346" max="14346" width="13.28515625" style="651" customWidth="1"/>
    <col min="14347" max="14348" width="9.140625" style="651"/>
    <col min="14349" max="14349" width="14.85546875" style="651" customWidth="1"/>
    <col min="14350" max="14593" width="9.140625" style="651"/>
    <col min="14594" max="14594" width="20.42578125" style="651" customWidth="1"/>
    <col min="14595" max="14595" width="14.85546875" style="651" customWidth="1"/>
    <col min="14596" max="14596" width="13.85546875" style="651" customWidth="1"/>
    <col min="14597" max="14597" width="15.28515625" style="651" customWidth="1"/>
    <col min="14598" max="14598" width="20.7109375" style="651" customWidth="1"/>
    <col min="14599" max="14599" width="9.140625" style="651"/>
    <col min="14600" max="14600" width="14.85546875" style="651" bestFit="1" customWidth="1"/>
    <col min="14601" max="14601" width="14" style="651" customWidth="1"/>
    <col min="14602" max="14602" width="13.28515625" style="651" customWidth="1"/>
    <col min="14603" max="14604" width="9.140625" style="651"/>
    <col min="14605" max="14605" width="14.85546875" style="651" customWidth="1"/>
    <col min="14606" max="14849" width="9.140625" style="651"/>
    <col min="14850" max="14850" width="20.42578125" style="651" customWidth="1"/>
    <col min="14851" max="14851" width="14.85546875" style="651" customWidth="1"/>
    <col min="14852" max="14852" width="13.85546875" style="651" customWidth="1"/>
    <col min="14853" max="14853" width="15.28515625" style="651" customWidth="1"/>
    <col min="14854" max="14854" width="20.7109375" style="651" customWidth="1"/>
    <col min="14855" max="14855" width="9.140625" style="651"/>
    <col min="14856" max="14856" width="14.85546875" style="651" bestFit="1" customWidth="1"/>
    <col min="14857" max="14857" width="14" style="651" customWidth="1"/>
    <col min="14858" max="14858" width="13.28515625" style="651" customWidth="1"/>
    <col min="14859" max="14860" width="9.140625" style="651"/>
    <col min="14861" max="14861" width="14.85546875" style="651" customWidth="1"/>
    <col min="14862" max="15105" width="9.140625" style="651"/>
    <col min="15106" max="15106" width="20.42578125" style="651" customWidth="1"/>
    <col min="15107" max="15107" width="14.85546875" style="651" customWidth="1"/>
    <col min="15108" max="15108" width="13.85546875" style="651" customWidth="1"/>
    <col min="15109" max="15109" width="15.28515625" style="651" customWidth="1"/>
    <col min="15110" max="15110" width="20.7109375" style="651" customWidth="1"/>
    <col min="15111" max="15111" width="9.140625" style="651"/>
    <col min="15112" max="15112" width="14.85546875" style="651" bestFit="1" customWidth="1"/>
    <col min="15113" max="15113" width="14" style="651" customWidth="1"/>
    <col min="15114" max="15114" width="13.28515625" style="651" customWidth="1"/>
    <col min="15115" max="15116" width="9.140625" style="651"/>
    <col min="15117" max="15117" width="14.85546875" style="651" customWidth="1"/>
    <col min="15118" max="15361" width="9.140625" style="651"/>
    <col min="15362" max="15362" width="20.42578125" style="651" customWidth="1"/>
    <col min="15363" max="15363" width="14.85546875" style="651" customWidth="1"/>
    <col min="15364" max="15364" width="13.85546875" style="651" customWidth="1"/>
    <col min="15365" max="15365" width="15.28515625" style="651" customWidth="1"/>
    <col min="15366" max="15366" width="20.7109375" style="651" customWidth="1"/>
    <col min="15367" max="15367" width="9.140625" style="651"/>
    <col min="15368" max="15368" width="14.85546875" style="651" bestFit="1" customWidth="1"/>
    <col min="15369" max="15369" width="14" style="651" customWidth="1"/>
    <col min="15370" max="15370" width="13.28515625" style="651" customWidth="1"/>
    <col min="15371" max="15372" width="9.140625" style="651"/>
    <col min="15373" max="15373" width="14.85546875" style="651" customWidth="1"/>
    <col min="15374" max="15617" width="9.140625" style="651"/>
    <col min="15618" max="15618" width="20.42578125" style="651" customWidth="1"/>
    <col min="15619" max="15619" width="14.85546875" style="651" customWidth="1"/>
    <col min="15620" max="15620" width="13.85546875" style="651" customWidth="1"/>
    <col min="15621" max="15621" width="15.28515625" style="651" customWidth="1"/>
    <col min="15622" max="15622" width="20.7109375" style="651" customWidth="1"/>
    <col min="15623" max="15623" width="9.140625" style="651"/>
    <col min="15624" max="15624" width="14.85546875" style="651" bestFit="1" customWidth="1"/>
    <col min="15625" max="15625" width="14" style="651" customWidth="1"/>
    <col min="15626" max="15626" width="13.28515625" style="651" customWidth="1"/>
    <col min="15627" max="15628" width="9.140625" style="651"/>
    <col min="15629" max="15629" width="14.85546875" style="651" customWidth="1"/>
    <col min="15630" max="15873" width="9.140625" style="651"/>
    <col min="15874" max="15874" width="20.42578125" style="651" customWidth="1"/>
    <col min="15875" max="15875" width="14.85546875" style="651" customWidth="1"/>
    <col min="15876" max="15876" width="13.85546875" style="651" customWidth="1"/>
    <col min="15877" max="15877" width="15.28515625" style="651" customWidth="1"/>
    <col min="15878" max="15878" width="20.7109375" style="651" customWidth="1"/>
    <col min="15879" max="15879" width="9.140625" style="651"/>
    <col min="15880" max="15880" width="14.85546875" style="651" bestFit="1" customWidth="1"/>
    <col min="15881" max="15881" width="14" style="651" customWidth="1"/>
    <col min="15882" max="15882" width="13.28515625" style="651" customWidth="1"/>
    <col min="15883" max="15884" width="9.140625" style="651"/>
    <col min="15885" max="15885" width="14.85546875" style="651" customWidth="1"/>
    <col min="15886" max="16129" width="9.140625" style="651"/>
    <col min="16130" max="16130" width="20.42578125" style="651" customWidth="1"/>
    <col min="16131" max="16131" width="14.85546875" style="651" customWidth="1"/>
    <col min="16132" max="16132" width="13.85546875" style="651" customWidth="1"/>
    <col min="16133" max="16133" width="15.28515625" style="651" customWidth="1"/>
    <col min="16134" max="16134" width="20.7109375" style="651" customWidth="1"/>
    <col min="16135" max="16135" width="9.140625" style="651"/>
    <col min="16136" max="16136" width="14.85546875" style="651" bestFit="1" customWidth="1"/>
    <col min="16137" max="16137" width="14" style="651" customWidth="1"/>
    <col min="16138" max="16138" width="13.28515625" style="651" customWidth="1"/>
    <col min="16139" max="16140" width="9.140625" style="651"/>
    <col min="16141" max="16141" width="14.85546875" style="651" customWidth="1"/>
    <col min="16142" max="16384" width="9.140625" style="651"/>
  </cols>
  <sheetData>
    <row r="1" spans="2:10" ht="13.5" thickBot="1" x14ac:dyDescent="0.25"/>
    <row r="2" spans="2:10" ht="12.75" customHeight="1" x14ac:dyDescent="0.2">
      <c r="B2" s="652" t="s">
        <v>830</v>
      </c>
      <c r="C2" s="653" t="s">
        <v>831</v>
      </c>
      <c r="D2" s="654"/>
      <c r="E2" s="654"/>
      <c r="F2" s="655"/>
    </row>
    <row r="3" spans="2:10" ht="51" x14ac:dyDescent="0.2">
      <c r="B3" s="656"/>
      <c r="C3" s="657" t="s">
        <v>832</v>
      </c>
      <c r="D3" s="657" t="s">
        <v>833</v>
      </c>
      <c r="E3" s="658" t="s">
        <v>834</v>
      </c>
      <c r="F3" s="659" t="s">
        <v>835</v>
      </c>
    </row>
    <row r="4" spans="2:10" x14ac:dyDescent="0.2">
      <c r="B4" s="660" t="s">
        <v>836</v>
      </c>
      <c r="C4" s="661">
        <v>142853.86965000001</v>
      </c>
      <c r="D4" s="662">
        <v>181662.93887000001</v>
      </c>
      <c r="E4" s="662">
        <v>38809.069220000005</v>
      </c>
      <c r="F4" s="663">
        <v>0.27166970915862754</v>
      </c>
      <c r="H4"/>
      <c r="I4"/>
      <c r="J4"/>
    </row>
    <row r="5" spans="2:10" x14ac:dyDescent="0.2">
      <c r="B5" s="660" t="s">
        <v>837</v>
      </c>
      <c r="C5" s="661">
        <v>9127.4153500000011</v>
      </c>
      <c r="D5" s="662">
        <v>10662.485799999999</v>
      </c>
      <c r="E5" s="662">
        <v>1535.0704499999974</v>
      </c>
      <c r="F5" s="663">
        <v>0.16818238144492859</v>
      </c>
      <c r="H5"/>
      <c r="I5"/>
      <c r="J5"/>
    </row>
    <row r="6" spans="2:10" x14ac:dyDescent="0.2">
      <c r="B6" s="660" t="s">
        <v>838</v>
      </c>
      <c r="C6" s="661">
        <v>10838.103919999998</v>
      </c>
      <c r="D6" s="662">
        <v>12252.915000000001</v>
      </c>
      <c r="E6" s="662">
        <v>1414.8110800000031</v>
      </c>
      <c r="F6" s="663">
        <v>0.1305404608078351</v>
      </c>
      <c r="H6"/>
      <c r="I6"/>
      <c r="J6"/>
    </row>
    <row r="7" spans="2:10" x14ac:dyDescent="0.2">
      <c r="B7" s="660" t="s">
        <v>839</v>
      </c>
      <c r="C7" s="661">
        <v>11622.778250000001</v>
      </c>
      <c r="D7" s="662">
        <v>12980.69498</v>
      </c>
      <c r="E7" s="662">
        <v>1357.916729999999</v>
      </c>
      <c r="F7" s="663">
        <v>0.11683237009189251</v>
      </c>
      <c r="H7"/>
      <c r="I7"/>
      <c r="J7"/>
    </row>
    <row r="8" spans="2:10" x14ac:dyDescent="0.2">
      <c r="B8" s="660" t="s">
        <v>840</v>
      </c>
      <c r="C8" s="661">
        <v>29550.100739999994</v>
      </c>
      <c r="D8" s="662">
        <v>32934.181509999995</v>
      </c>
      <c r="E8" s="662">
        <v>3384.0807700000005</v>
      </c>
      <c r="F8" s="663">
        <v>0.11452010941604662</v>
      </c>
      <c r="H8"/>
      <c r="I8"/>
      <c r="J8"/>
    </row>
    <row r="9" spans="2:10" x14ac:dyDescent="0.2">
      <c r="B9" s="660" t="s">
        <v>841</v>
      </c>
      <c r="C9" s="661">
        <v>9780.9559699999991</v>
      </c>
      <c r="D9" s="662">
        <v>10846.96063</v>
      </c>
      <c r="E9" s="662">
        <v>1066.0046600000005</v>
      </c>
      <c r="F9" s="663">
        <v>0.1089877782161206</v>
      </c>
      <c r="H9"/>
      <c r="I9"/>
      <c r="J9"/>
    </row>
    <row r="10" spans="2:10" x14ac:dyDescent="0.2">
      <c r="B10" s="660" t="s">
        <v>842</v>
      </c>
      <c r="C10" s="661">
        <v>16494.769049999995</v>
      </c>
      <c r="D10" s="662">
        <v>18062.449220000002</v>
      </c>
      <c r="E10" s="662">
        <v>1567.6801700000069</v>
      </c>
      <c r="F10" s="663">
        <v>9.5041049998818128E-2</v>
      </c>
      <c r="H10"/>
      <c r="I10"/>
      <c r="J10"/>
    </row>
    <row r="11" spans="2:10" x14ac:dyDescent="0.2">
      <c r="B11" s="660" t="s">
        <v>843</v>
      </c>
      <c r="C11" s="661">
        <v>15978.104799999997</v>
      </c>
      <c r="D11" s="662">
        <v>17429.310459999997</v>
      </c>
      <c r="E11" s="662">
        <v>1451.2056599999996</v>
      </c>
      <c r="F11" s="663">
        <v>9.0824642732347138E-2</v>
      </c>
      <c r="H11"/>
      <c r="I11"/>
      <c r="J11"/>
    </row>
    <row r="12" spans="2:10" x14ac:dyDescent="0.2">
      <c r="B12" s="660" t="s">
        <v>844</v>
      </c>
      <c r="C12" s="661">
        <v>21607.205829999999</v>
      </c>
      <c r="D12" s="662">
        <v>23385.858119999994</v>
      </c>
      <c r="E12" s="662">
        <v>1778.6522899999945</v>
      </c>
      <c r="F12" s="663">
        <v>8.2317552023800644E-2</v>
      </c>
      <c r="H12"/>
      <c r="I12"/>
      <c r="J12"/>
    </row>
    <row r="13" spans="2:10" x14ac:dyDescent="0.2">
      <c r="B13" s="660" t="s">
        <v>845</v>
      </c>
      <c r="C13" s="661">
        <v>8725.9760399999996</v>
      </c>
      <c r="D13" s="662">
        <v>9413.8162699999993</v>
      </c>
      <c r="E13" s="662">
        <v>687.84022999999979</v>
      </c>
      <c r="F13" s="663">
        <v>7.8826738332414603E-2</v>
      </c>
      <c r="H13"/>
      <c r="I13"/>
      <c r="J13"/>
    </row>
    <row r="14" spans="2:10" x14ac:dyDescent="0.2">
      <c r="B14" s="660" t="s">
        <v>846</v>
      </c>
      <c r="C14" s="661">
        <v>2853.9133700000002</v>
      </c>
      <c r="D14" s="662">
        <v>3066.8952000000004</v>
      </c>
      <c r="E14" s="662">
        <v>212.98183000000017</v>
      </c>
      <c r="F14" s="663">
        <v>7.4627994051550406E-2</v>
      </c>
      <c r="H14"/>
      <c r="I14"/>
      <c r="J14"/>
    </row>
    <row r="15" spans="2:10" x14ac:dyDescent="0.2">
      <c r="B15" s="660" t="s">
        <v>847</v>
      </c>
      <c r="C15" s="661">
        <v>8259.3752499999991</v>
      </c>
      <c r="D15" s="662">
        <v>8820.2507199999982</v>
      </c>
      <c r="E15" s="662">
        <v>560.87546999999904</v>
      </c>
      <c r="F15" s="663">
        <v>6.7907735515467582E-2</v>
      </c>
      <c r="H15"/>
      <c r="I15"/>
      <c r="J15"/>
    </row>
    <row r="16" spans="2:10" x14ac:dyDescent="0.2">
      <c r="B16" s="660" t="s">
        <v>848</v>
      </c>
      <c r="C16" s="661">
        <v>2783.3116199999999</v>
      </c>
      <c r="D16" s="662">
        <v>2971.2264000000005</v>
      </c>
      <c r="E16" s="662">
        <v>187.91478000000052</v>
      </c>
      <c r="F16" s="663">
        <v>6.751481891201272E-2</v>
      </c>
      <c r="H16"/>
      <c r="I16"/>
      <c r="J16"/>
    </row>
    <row r="17" spans="2:10" x14ac:dyDescent="0.2">
      <c r="B17" s="660" t="s">
        <v>849</v>
      </c>
      <c r="C17" s="661">
        <v>15196.72624</v>
      </c>
      <c r="D17" s="662">
        <v>16048.768880000003</v>
      </c>
      <c r="E17" s="662">
        <v>852.0426400000033</v>
      </c>
      <c r="F17" s="663">
        <v>5.6067512603951597E-2</v>
      </c>
      <c r="H17"/>
      <c r="I17"/>
      <c r="J17"/>
    </row>
    <row r="18" spans="2:10" x14ac:dyDescent="0.2">
      <c r="B18" s="660" t="s">
        <v>850</v>
      </c>
      <c r="C18" s="661">
        <v>20164.834060000001</v>
      </c>
      <c r="D18" s="662">
        <v>21273.598209999996</v>
      </c>
      <c r="E18" s="662">
        <v>1108.7641499999954</v>
      </c>
      <c r="F18" s="663">
        <v>5.4985037154329897E-2</v>
      </c>
      <c r="H18"/>
      <c r="I18"/>
      <c r="J18"/>
    </row>
    <row r="19" spans="2:10" x14ac:dyDescent="0.2">
      <c r="B19" s="660" t="s">
        <v>851</v>
      </c>
      <c r="C19" s="661">
        <v>35537.908109999989</v>
      </c>
      <c r="D19" s="662">
        <v>37463.002759999988</v>
      </c>
      <c r="E19" s="662">
        <v>1925.0946499999991</v>
      </c>
      <c r="F19" s="663">
        <v>5.4170173552176459E-2</v>
      </c>
      <c r="H19"/>
      <c r="I19"/>
      <c r="J19"/>
    </row>
    <row r="20" spans="2:10" x14ac:dyDescent="0.2">
      <c r="B20" s="660" t="s">
        <v>852</v>
      </c>
      <c r="C20" s="661">
        <v>18657.018019999996</v>
      </c>
      <c r="D20" s="662">
        <v>19540.277320000008</v>
      </c>
      <c r="E20" s="662">
        <v>883.25930000001244</v>
      </c>
      <c r="F20" s="663">
        <v>4.7341933156369143E-2</v>
      </c>
      <c r="H20"/>
      <c r="I20"/>
      <c r="J20"/>
    </row>
    <row r="21" spans="2:10" x14ac:dyDescent="0.2">
      <c r="B21" s="660" t="s">
        <v>853</v>
      </c>
      <c r="C21" s="661">
        <v>20455.917150000001</v>
      </c>
      <c r="D21" s="662">
        <v>21386.329609999997</v>
      </c>
      <c r="E21" s="662">
        <v>930.41245999999592</v>
      </c>
      <c r="F21" s="663">
        <v>4.5483781205087448E-2</v>
      </c>
      <c r="H21"/>
      <c r="I21"/>
      <c r="J21"/>
    </row>
    <row r="22" spans="2:10" x14ac:dyDescent="0.2">
      <c r="B22" s="660" t="s">
        <v>854</v>
      </c>
      <c r="C22" s="661">
        <v>42292.668859999991</v>
      </c>
      <c r="D22" s="662">
        <v>44110.92508999999</v>
      </c>
      <c r="E22" s="662">
        <v>1818.2562299999991</v>
      </c>
      <c r="F22" s="663">
        <v>4.2992231963863814E-2</v>
      </c>
      <c r="H22"/>
      <c r="I22"/>
      <c r="J22"/>
    </row>
    <row r="23" spans="2:10" x14ac:dyDescent="0.2">
      <c r="B23" s="660" t="s">
        <v>855</v>
      </c>
      <c r="C23" s="661">
        <v>6180.7634300000018</v>
      </c>
      <c r="D23" s="662">
        <v>6411.1585100000002</v>
      </c>
      <c r="E23" s="662">
        <v>230.39507999999842</v>
      </c>
      <c r="F23" s="663">
        <v>3.7276152470375079E-2</v>
      </c>
      <c r="H23"/>
      <c r="I23"/>
      <c r="J23"/>
    </row>
    <row r="24" spans="2:10" x14ac:dyDescent="0.2">
      <c r="B24" s="660" t="s">
        <v>856</v>
      </c>
      <c r="C24" s="661">
        <v>19079.233269999997</v>
      </c>
      <c r="D24" s="662">
        <v>19773.668320000001</v>
      </c>
      <c r="E24" s="662">
        <v>694.43505000000368</v>
      </c>
      <c r="F24" s="663">
        <v>3.6397429612222698E-2</v>
      </c>
      <c r="H24"/>
      <c r="I24"/>
      <c r="J24"/>
    </row>
    <row r="25" spans="2:10" x14ac:dyDescent="0.2">
      <c r="B25" s="660" t="s">
        <v>857</v>
      </c>
      <c r="C25" s="661">
        <v>18220.978450000002</v>
      </c>
      <c r="D25" s="662">
        <v>18556.563469999997</v>
      </c>
      <c r="E25" s="662">
        <v>335.58501999999498</v>
      </c>
      <c r="F25" s="663">
        <v>1.8417508199181976E-2</v>
      </c>
      <c r="H25"/>
      <c r="I25"/>
      <c r="J25"/>
    </row>
    <row r="26" spans="2:10" x14ac:dyDescent="0.2">
      <c r="B26" s="660" t="s">
        <v>858</v>
      </c>
      <c r="C26" s="661">
        <v>9121.6084999999985</v>
      </c>
      <c r="D26" s="662">
        <v>9237.9073599999974</v>
      </c>
      <c r="E26" s="662">
        <v>116.29885999999897</v>
      </c>
      <c r="F26" s="663">
        <v>1.2749819288999209E-2</v>
      </c>
      <c r="H26"/>
      <c r="I26"/>
      <c r="J26"/>
    </row>
    <row r="27" spans="2:10" x14ac:dyDescent="0.2">
      <c r="B27" s="660" t="s">
        <v>859</v>
      </c>
      <c r="C27" s="661">
        <v>10279.49221</v>
      </c>
      <c r="D27" s="662">
        <v>10342.36879</v>
      </c>
      <c r="E27" s="662">
        <v>62.876580000000104</v>
      </c>
      <c r="F27" s="663">
        <v>6.1167009727225441E-3</v>
      </c>
      <c r="H27"/>
      <c r="I27"/>
      <c r="J27"/>
    </row>
    <row r="28" spans="2:10" x14ac:dyDescent="0.2">
      <c r="B28" s="660" t="s">
        <v>860</v>
      </c>
      <c r="C28" s="661">
        <v>26217.858579999993</v>
      </c>
      <c r="D28" s="662">
        <v>26246.248089999997</v>
      </c>
      <c r="E28" s="662">
        <v>28.38951000000452</v>
      </c>
      <c r="F28" s="663">
        <v>1.0828309990833507E-3</v>
      </c>
      <c r="H28"/>
      <c r="I28"/>
      <c r="J28"/>
    </row>
    <row r="29" spans="2:10" x14ac:dyDescent="0.2">
      <c r="B29" s="660" t="s">
        <v>861</v>
      </c>
      <c r="C29" s="661">
        <v>5034.560379999999</v>
      </c>
      <c r="D29" s="662">
        <v>5020.3279500000008</v>
      </c>
      <c r="E29" s="662">
        <v>-14.232429999998203</v>
      </c>
      <c r="F29" s="664">
        <v>-2.8269459348501114E-3</v>
      </c>
      <c r="H29"/>
      <c r="I29"/>
      <c r="J29"/>
    </row>
    <row r="30" spans="2:10" x14ac:dyDescent="0.2">
      <c r="B30" s="660" t="s">
        <v>862</v>
      </c>
      <c r="C30" s="661">
        <v>3615.8827400000014</v>
      </c>
      <c r="D30" s="662">
        <v>3583.7496500000002</v>
      </c>
      <c r="E30" s="662">
        <v>-32.133090000001175</v>
      </c>
      <c r="F30" s="664">
        <v>-8.8866515621579545E-3</v>
      </c>
      <c r="H30"/>
      <c r="I30"/>
      <c r="J30"/>
    </row>
    <row r="31" spans="2:10" x14ac:dyDescent="0.2">
      <c r="B31" s="660" t="s">
        <v>863</v>
      </c>
      <c r="C31" s="661">
        <v>6433.1352100000004</v>
      </c>
      <c r="D31" s="662">
        <v>6361.3266299999996</v>
      </c>
      <c r="E31" s="662">
        <v>-71.808580000000802</v>
      </c>
      <c r="F31" s="664">
        <v>-1.1162299198744896E-2</v>
      </c>
      <c r="H31"/>
      <c r="I31"/>
      <c r="J31"/>
    </row>
    <row r="32" spans="2:10" x14ac:dyDescent="0.2">
      <c r="B32" s="660" t="s">
        <v>864</v>
      </c>
      <c r="C32" s="661">
        <v>12374.366970000003</v>
      </c>
      <c r="D32" s="662">
        <v>12203.06746</v>
      </c>
      <c r="E32" s="662">
        <v>-171.29951000000256</v>
      </c>
      <c r="F32" s="664">
        <v>-1.3843092775193688E-2</v>
      </c>
      <c r="H32"/>
      <c r="I32"/>
      <c r="J32"/>
    </row>
    <row r="33" spans="2:21" x14ac:dyDescent="0.2">
      <c r="B33" s="660" t="s">
        <v>865</v>
      </c>
      <c r="C33" s="661">
        <v>8396.5756800000017</v>
      </c>
      <c r="D33" s="662">
        <v>8277.8631000000005</v>
      </c>
      <c r="E33" s="662">
        <v>-118.71258000000125</v>
      </c>
      <c r="F33" s="664">
        <v>-1.4138213543738454E-2</v>
      </c>
      <c r="H33"/>
      <c r="I33"/>
      <c r="J33"/>
    </row>
    <row r="34" spans="2:21" x14ac:dyDescent="0.2">
      <c r="B34" s="660" t="s">
        <v>866</v>
      </c>
      <c r="C34" s="661">
        <v>28982.542869999997</v>
      </c>
      <c r="D34" s="662">
        <v>28472.676060000002</v>
      </c>
      <c r="E34" s="662">
        <v>-509.86680999999589</v>
      </c>
      <c r="F34" s="664">
        <v>-1.7592204117043209E-2</v>
      </c>
      <c r="H34"/>
      <c r="I34"/>
      <c r="J34"/>
    </row>
    <row r="35" spans="2:21" x14ac:dyDescent="0.2">
      <c r="B35" s="660" t="s">
        <v>867</v>
      </c>
      <c r="C35" s="661">
        <v>13444.591390000001</v>
      </c>
      <c r="D35" s="662">
        <v>12670.860330000001</v>
      </c>
      <c r="E35" s="662">
        <v>-773.73106000000007</v>
      </c>
      <c r="F35" s="664">
        <v>-5.7549615124450448E-2</v>
      </c>
      <c r="H35"/>
      <c r="I35"/>
      <c r="J35"/>
    </row>
    <row r="36" spans="2:21" x14ac:dyDescent="0.2">
      <c r="B36" s="660" t="s">
        <v>868</v>
      </c>
      <c r="C36" s="661">
        <v>7061.37763</v>
      </c>
      <c r="D36" s="662">
        <v>6618.5492400000012</v>
      </c>
      <c r="E36" s="662">
        <v>-442.82838999999876</v>
      </c>
      <c r="F36" s="664">
        <v>-6.2711331018278749E-2</v>
      </c>
      <c r="H36"/>
      <c r="I36"/>
      <c r="J36"/>
    </row>
    <row r="37" spans="2:21" x14ac:dyDescent="0.2">
      <c r="B37" s="660" t="s">
        <v>869</v>
      </c>
      <c r="C37" s="661">
        <v>10104.40256</v>
      </c>
      <c r="D37" s="662">
        <v>9035.744160000002</v>
      </c>
      <c r="E37" s="662">
        <v>-1068.6583999999984</v>
      </c>
      <c r="F37" s="664">
        <v>-0.1057616611822717</v>
      </c>
      <c r="H37"/>
      <c r="I37"/>
      <c r="J37"/>
    </row>
    <row r="38" spans="2:21" x14ac:dyDescent="0.2">
      <c r="B38" s="660" t="s">
        <v>870</v>
      </c>
      <c r="C38" s="661">
        <v>13322.98128</v>
      </c>
      <c r="D38" s="662">
        <v>10927.340399999999</v>
      </c>
      <c r="E38" s="662">
        <v>-2395.6408800000008</v>
      </c>
      <c r="F38" s="664">
        <v>-0.17981267327878436</v>
      </c>
      <c r="H38"/>
      <c r="I38"/>
      <c r="J38"/>
    </row>
    <row r="39" spans="2:21" x14ac:dyDescent="0.2">
      <c r="B39" s="660" t="s">
        <v>871</v>
      </c>
      <c r="C39" s="661">
        <v>6322.5200099999993</v>
      </c>
      <c r="D39" s="662">
        <v>4884.5130900000004</v>
      </c>
      <c r="E39" s="662">
        <v>-1438.0069199999989</v>
      </c>
      <c r="F39" s="664">
        <v>-0.22744205122729211</v>
      </c>
      <c r="H39"/>
      <c r="I39"/>
      <c r="J39"/>
    </row>
    <row r="40" spans="2:21" ht="13.5" thickBot="1" x14ac:dyDescent="0.25">
      <c r="B40" s="665" t="s">
        <v>872</v>
      </c>
      <c r="C40" s="666">
        <v>646973.82343999983</v>
      </c>
      <c r="D40" s="666">
        <v>702936.81766000006</v>
      </c>
      <c r="E40" s="667">
        <v>55962.994220000226</v>
      </c>
      <c r="F40" s="668">
        <v>8.6499626712006839E-2</v>
      </c>
    </row>
    <row r="41" spans="2:21" ht="14.25" thickTop="1" thickBot="1" x14ac:dyDescent="0.25">
      <c r="B41" s="669" t="s">
        <v>873</v>
      </c>
      <c r="C41" s="670">
        <v>20174.030649999993</v>
      </c>
      <c r="D41" s="662">
        <v>22576.582100000011</v>
      </c>
      <c r="E41" s="671">
        <v>2402.5514500000172</v>
      </c>
      <c r="F41" s="672">
        <v>0.11909129571982779</v>
      </c>
    </row>
    <row r="42" spans="2:21" ht="14.25" thickTop="1" thickBot="1" x14ac:dyDescent="0.25">
      <c r="B42" s="673" t="s">
        <v>874</v>
      </c>
      <c r="C42" s="674">
        <v>667147.8540899998</v>
      </c>
      <c r="D42" s="674">
        <v>725513.39976000006</v>
      </c>
      <c r="E42" s="674">
        <v>58365.54567000024</v>
      </c>
      <c r="F42" s="675">
        <v>8.7485173357278345E-2</v>
      </c>
    </row>
    <row r="44" spans="2:21" x14ac:dyDescent="0.2">
      <c r="M44"/>
      <c r="N44"/>
      <c r="O44"/>
      <c r="P44"/>
      <c r="Q44"/>
      <c r="R44"/>
      <c r="S44"/>
      <c r="T44"/>
      <c r="U44"/>
    </row>
    <row r="45" spans="2:21" x14ac:dyDescent="0.2">
      <c r="M45"/>
      <c r="N45"/>
      <c r="O45"/>
      <c r="P45"/>
      <c r="Q45"/>
      <c r="R45"/>
      <c r="S45"/>
      <c r="T45"/>
      <c r="U45"/>
    </row>
    <row r="46" spans="2:21" x14ac:dyDescent="0.2">
      <c r="M46"/>
      <c r="N46"/>
      <c r="O46"/>
      <c r="P46"/>
      <c r="Q46"/>
      <c r="R46"/>
      <c r="S46"/>
      <c r="T46"/>
      <c r="U46"/>
    </row>
    <row r="47" spans="2:21" x14ac:dyDescent="0.2">
      <c r="M47"/>
      <c r="N47"/>
      <c r="O47"/>
      <c r="P47"/>
      <c r="Q47"/>
      <c r="R47"/>
      <c r="S47"/>
      <c r="T47"/>
      <c r="U47"/>
    </row>
    <row r="48" spans="2:21" x14ac:dyDescent="0.2">
      <c r="M48"/>
      <c r="N48"/>
      <c r="O48"/>
      <c r="P48"/>
      <c r="Q48"/>
      <c r="R48"/>
      <c r="S48"/>
      <c r="T48"/>
      <c r="U48"/>
    </row>
  </sheetData>
  <mergeCells count="2">
    <mergeCell ref="B2:B3"/>
    <mergeCell ref="C2:F2"/>
  </mergeCells>
  <conditionalFormatting sqref="E4:E39">
    <cfRule type="cellIs" dxfId="4" priority="3" stopIfTrue="1" operator="lessThan">
      <formula>0</formula>
    </cfRule>
  </conditionalFormatting>
  <conditionalFormatting sqref="E40">
    <cfRule type="cellIs" dxfId="3" priority="1" stopIfTrue="1" operator="lessThan">
      <formula>0</formula>
    </cfRule>
  </conditionalFormatting>
  <conditionalFormatting sqref="E41"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2FED"/>
    <pageSetUpPr fitToPage="1"/>
  </sheetPr>
  <dimension ref="A2:G34"/>
  <sheetViews>
    <sheetView zoomScale="90" zoomScaleNormal="90" workbookViewId="0">
      <selection activeCell="C22" sqref="C22:H22"/>
    </sheetView>
  </sheetViews>
  <sheetFormatPr defaultRowHeight="12.75" x14ac:dyDescent="0.2"/>
  <cols>
    <col min="1" max="1" width="36.28515625" style="651" customWidth="1"/>
    <col min="2" max="2" width="31.85546875" style="651" customWidth="1"/>
    <col min="3" max="3" width="22.5703125" style="651" customWidth="1"/>
    <col min="4" max="4" width="17.42578125" style="651" customWidth="1"/>
    <col min="5" max="5" width="10.140625" style="651" customWidth="1"/>
    <col min="6" max="6" width="16.85546875" style="651" customWidth="1"/>
    <col min="7" max="7" width="19.140625" style="651" customWidth="1"/>
    <col min="8" max="256" width="9.140625" style="651"/>
    <col min="257" max="257" width="36.28515625" style="651" customWidth="1"/>
    <col min="258" max="258" width="31.85546875" style="651" customWidth="1"/>
    <col min="259" max="259" width="22.5703125" style="651" customWidth="1"/>
    <col min="260" max="260" width="17.42578125" style="651" customWidth="1"/>
    <col min="261" max="261" width="10.140625" style="651" customWidth="1"/>
    <col min="262" max="262" width="16.85546875" style="651" customWidth="1"/>
    <col min="263" max="263" width="19.140625" style="651" customWidth="1"/>
    <col min="264" max="512" width="9.140625" style="651"/>
    <col min="513" max="513" width="36.28515625" style="651" customWidth="1"/>
    <col min="514" max="514" width="31.85546875" style="651" customWidth="1"/>
    <col min="515" max="515" width="22.5703125" style="651" customWidth="1"/>
    <col min="516" max="516" width="17.42578125" style="651" customWidth="1"/>
    <col min="517" max="517" width="10.140625" style="651" customWidth="1"/>
    <col min="518" max="518" width="16.85546875" style="651" customWidth="1"/>
    <col min="519" max="519" width="19.140625" style="651" customWidth="1"/>
    <col min="520" max="768" width="9.140625" style="651"/>
    <col min="769" max="769" width="36.28515625" style="651" customWidth="1"/>
    <col min="770" max="770" width="31.85546875" style="651" customWidth="1"/>
    <col min="771" max="771" width="22.5703125" style="651" customWidth="1"/>
    <col min="772" max="772" width="17.42578125" style="651" customWidth="1"/>
    <col min="773" max="773" width="10.140625" style="651" customWidth="1"/>
    <col min="774" max="774" width="16.85546875" style="651" customWidth="1"/>
    <col min="775" max="775" width="19.140625" style="651" customWidth="1"/>
    <col min="776" max="1024" width="9.140625" style="651"/>
    <col min="1025" max="1025" width="36.28515625" style="651" customWidth="1"/>
    <col min="1026" max="1026" width="31.85546875" style="651" customWidth="1"/>
    <col min="1027" max="1027" width="22.5703125" style="651" customWidth="1"/>
    <col min="1028" max="1028" width="17.42578125" style="651" customWidth="1"/>
    <col min="1029" max="1029" width="10.140625" style="651" customWidth="1"/>
    <col min="1030" max="1030" width="16.85546875" style="651" customWidth="1"/>
    <col min="1031" max="1031" width="19.140625" style="651" customWidth="1"/>
    <col min="1032" max="1280" width="9.140625" style="651"/>
    <col min="1281" max="1281" width="36.28515625" style="651" customWidth="1"/>
    <col min="1282" max="1282" width="31.85546875" style="651" customWidth="1"/>
    <col min="1283" max="1283" width="22.5703125" style="651" customWidth="1"/>
    <col min="1284" max="1284" width="17.42578125" style="651" customWidth="1"/>
    <col min="1285" max="1285" width="10.140625" style="651" customWidth="1"/>
    <col min="1286" max="1286" width="16.85546875" style="651" customWidth="1"/>
    <col min="1287" max="1287" width="19.140625" style="651" customWidth="1"/>
    <col min="1288" max="1536" width="9.140625" style="651"/>
    <col min="1537" max="1537" width="36.28515625" style="651" customWidth="1"/>
    <col min="1538" max="1538" width="31.85546875" style="651" customWidth="1"/>
    <col min="1539" max="1539" width="22.5703125" style="651" customWidth="1"/>
    <col min="1540" max="1540" width="17.42578125" style="651" customWidth="1"/>
    <col min="1541" max="1541" width="10.140625" style="651" customWidth="1"/>
    <col min="1542" max="1542" width="16.85546875" style="651" customWidth="1"/>
    <col min="1543" max="1543" width="19.140625" style="651" customWidth="1"/>
    <col min="1544" max="1792" width="9.140625" style="651"/>
    <col min="1793" max="1793" width="36.28515625" style="651" customWidth="1"/>
    <col min="1794" max="1794" width="31.85546875" style="651" customWidth="1"/>
    <col min="1795" max="1795" width="22.5703125" style="651" customWidth="1"/>
    <col min="1796" max="1796" width="17.42578125" style="651" customWidth="1"/>
    <col min="1797" max="1797" width="10.140625" style="651" customWidth="1"/>
    <col min="1798" max="1798" width="16.85546875" style="651" customWidth="1"/>
    <col min="1799" max="1799" width="19.140625" style="651" customWidth="1"/>
    <col min="1800" max="2048" width="9.140625" style="651"/>
    <col min="2049" max="2049" width="36.28515625" style="651" customWidth="1"/>
    <col min="2050" max="2050" width="31.85546875" style="651" customWidth="1"/>
    <col min="2051" max="2051" width="22.5703125" style="651" customWidth="1"/>
    <col min="2052" max="2052" width="17.42578125" style="651" customWidth="1"/>
    <col min="2053" max="2053" width="10.140625" style="651" customWidth="1"/>
    <col min="2054" max="2054" width="16.85546875" style="651" customWidth="1"/>
    <col min="2055" max="2055" width="19.140625" style="651" customWidth="1"/>
    <col min="2056" max="2304" width="9.140625" style="651"/>
    <col min="2305" max="2305" width="36.28515625" style="651" customWidth="1"/>
    <col min="2306" max="2306" width="31.85546875" style="651" customWidth="1"/>
    <col min="2307" max="2307" width="22.5703125" style="651" customWidth="1"/>
    <col min="2308" max="2308" width="17.42578125" style="651" customWidth="1"/>
    <col min="2309" max="2309" width="10.140625" style="651" customWidth="1"/>
    <col min="2310" max="2310" width="16.85546875" style="651" customWidth="1"/>
    <col min="2311" max="2311" width="19.140625" style="651" customWidth="1"/>
    <col min="2312" max="2560" width="9.140625" style="651"/>
    <col min="2561" max="2561" width="36.28515625" style="651" customWidth="1"/>
    <col min="2562" max="2562" width="31.85546875" style="651" customWidth="1"/>
    <col min="2563" max="2563" width="22.5703125" style="651" customWidth="1"/>
    <col min="2564" max="2564" width="17.42578125" style="651" customWidth="1"/>
    <col min="2565" max="2565" width="10.140625" style="651" customWidth="1"/>
    <col min="2566" max="2566" width="16.85546875" style="651" customWidth="1"/>
    <col min="2567" max="2567" width="19.140625" style="651" customWidth="1"/>
    <col min="2568" max="2816" width="9.140625" style="651"/>
    <col min="2817" max="2817" width="36.28515625" style="651" customWidth="1"/>
    <col min="2818" max="2818" width="31.85546875" style="651" customWidth="1"/>
    <col min="2819" max="2819" width="22.5703125" style="651" customWidth="1"/>
    <col min="2820" max="2820" width="17.42578125" style="651" customWidth="1"/>
    <col min="2821" max="2821" width="10.140625" style="651" customWidth="1"/>
    <col min="2822" max="2822" width="16.85546875" style="651" customWidth="1"/>
    <col min="2823" max="2823" width="19.140625" style="651" customWidth="1"/>
    <col min="2824" max="3072" width="9.140625" style="651"/>
    <col min="3073" max="3073" width="36.28515625" style="651" customWidth="1"/>
    <col min="3074" max="3074" width="31.85546875" style="651" customWidth="1"/>
    <col min="3075" max="3075" width="22.5703125" style="651" customWidth="1"/>
    <col min="3076" max="3076" width="17.42578125" style="651" customWidth="1"/>
    <col min="3077" max="3077" width="10.140625" style="651" customWidth="1"/>
    <col min="3078" max="3078" width="16.85546875" style="651" customWidth="1"/>
    <col min="3079" max="3079" width="19.140625" style="651" customWidth="1"/>
    <col min="3080" max="3328" width="9.140625" style="651"/>
    <col min="3329" max="3329" width="36.28515625" style="651" customWidth="1"/>
    <col min="3330" max="3330" width="31.85546875" style="651" customWidth="1"/>
    <col min="3331" max="3331" width="22.5703125" style="651" customWidth="1"/>
    <col min="3332" max="3332" width="17.42578125" style="651" customWidth="1"/>
    <col min="3333" max="3333" width="10.140625" style="651" customWidth="1"/>
    <col min="3334" max="3334" width="16.85546875" style="651" customWidth="1"/>
    <col min="3335" max="3335" width="19.140625" style="651" customWidth="1"/>
    <col min="3336" max="3584" width="9.140625" style="651"/>
    <col min="3585" max="3585" width="36.28515625" style="651" customWidth="1"/>
    <col min="3586" max="3586" width="31.85546875" style="651" customWidth="1"/>
    <col min="3587" max="3587" width="22.5703125" style="651" customWidth="1"/>
    <col min="3588" max="3588" width="17.42578125" style="651" customWidth="1"/>
    <col min="3589" max="3589" width="10.140625" style="651" customWidth="1"/>
    <col min="3590" max="3590" width="16.85546875" style="651" customWidth="1"/>
    <col min="3591" max="3591" width="19.140625" style="651" customWidth="1"/>
    <col min="3592" max="3840" width="9.140625" style="651"/>
    <col min="3841" max="3841" width="36.28515625" style="651" customWidth="1"/>
    <col min="3842" max="3842" width="31.85546875" style="651" customWidth="1"/>
    <col min="3843" max="3843" width="22.5703125" style="651" customWidth="1"/>
    <col min="3844" max="3844" width="17.42578125" style="651" customWidth="1"/>
    <col min="3845" max="3845" width="10.140625" style="651" customWidth="1"/>
    <col min="3846" max="3846" width="16.85546875" style="651" customWidth="1"/>
    <col min="3847" max="3847" width="19.140625" style="651" customWidth="1"/>
    <col min="3848" max="4096" width="9.140625" style="651"/>
    <col min="4097" max="4097" width="36.28515625" style="651" customWidth="1"/>
    <col min="4098" max="4098" width="31.85546875" style="651" customWidth="1"/>
    <col min="4099" max="4099" width="22.5703125" style="651" customWidth="1"/>
    <col min="4100" max="4100" width="17.42578125" style="651" customWidth="1"/>
    <col min="4101" max="4101" width="10.140625" style="651" customWidth="1"/>
    <col min="4102" max="4102" width="16.85546875" style="651" customWidth="1"/>
    <col min="4103" max="4103" width="19.140625" style="651" customWidth="1"/>
    <col min="4104" max="4352" width="9.140625" style="651"/>
    <col min="4353" max="4353" width="36.28515625" style="651" customWidth="1"/>
    <col min="4354" max="4354" width="31.85546875" style="651" customWidth="1"/>
    <col min="4355" max="4355" width="22.5703125" style="651" customWidth="1"/>
    <col min="4356" max="4356" width="17.42578125" style="651" customWidth="1"/>
    <col min="4357" max="4357" width="10.140625" style="651" customWidth="1"/>
    <col min="4358" max="4358" width="16.85546875" style="651" customWidth="1"/>
    <col min="4359" max="4359" width="19.140625" style="651" customWidth="1"/>
    <col min="4360" max="4608" width="9.140625" style="651"/>
    <col min="4609" max="4609" width="36.28515625" style="651" customWidth="1"/>
    <col min="4610" max="4610" width="31.85546875" style="651" customWidth="1"/>
    <col min="4611" max="4611" width="22.5703125" style="651" customWidth="1"/>
    <col min="4612" max="4612" width="17.42578125" style="651" customWidth="1"/>
    <col min="4613" max="4613" width="10.140625" style="651" customWidth="1"/>
    <col min="4614" max="4614" width="16.85546875" style="651" customWidth="1"/>
    <col min="4615" max="4615" width="19.140625" style="651" customWidth="1"/>
    <col min="4616" max="4864" width="9.140625" style="651"/>
    <col min="4865" max="4865" width="36.28515625" style="651" customWidth="1"/>
    <col min="4866" max="4866" width="31.85546875" style="651" customWidth="1"/>
    <col min="4867" max="4867" width="22.5703125" style="651" customWidth="1"/>
    <col min="4868" max="4868" width="17.42578125" style="651" customWidth="1"/>
    <col min="4869" max="4869" width="10.140625" style="651" customWidth="1"/>
    <col min="4870" max="4870" width="16.85546875" style="651" customWidth="1"/>
    <col min="4871" max="4871" width="19.140625" style="651" customWidth="1"/>
    <col min="4872" max="5120" width="9.140625" style="651"/>
    <col min="5121" max="5121" width="36.28515625" style="651" customWidth="1"/>
    <col min="5122" max="5122" width="31.85546875" style="651" customWidth="1"/>
    <col min="5123" max="5123" width="22.5703125" style="651" customWidth="1"/>
    <col min="5124" max="5124" width="17.42578125" style="651" customWidth="1"/>
    <col min="5125" max="5125" width="10.140625" style="651" customWidth="1"/>
    <col min="5126" max="5126" width="16.85546875" style="651" customWidth="1"/>
    <col min="5127" max="5127" width="19.140625" style="651" customWidth="1"/>
    <col min="5128" max="5376" width="9.140625" style="651"/>
    <col min="5377" max="5377" width="36.28515625" style="651" customWidth="1"/>
    <col min="5378" max="5378" width="31.85546875" style="651" customWidth="1"/>
    <col min="5379" max="5379" width="22.5703125" style="651" customWidth="1"/>
    <col min="5380" max="5380" width="17.42578125" style="651" customWidth="1"/>
    <col min="5381" max="5381" width="10.140625" style="651" customWidth="1"/>
    <col min="5382" max="5382" width="16.85546875" style="651" customWidth="1"/>
    <col min="5383" max="5383" width="19.140625" style="651" customWidth="1"/>
    <col min="5384" max="5632" width="9.140625" style="651"/>
    <col min="5633" max="5633" width="36.28515625" style="651" customWidth="1"/>
    <col min="5634" max="5634" width="31.85546875" style="651" customWidth="1"/>
    <col min="5635" max="5635" width="22.5703125" style="651" customWidth="1"/>
    <col min="5636" max="5636" width="17.42578125" style="651" customWidth="1"/>
    <col min="5637" max="5637" width="10.140625" style="651" customWidth="1"/>
    <col min="5638" max="5638" width="16.85546875" style="651" customWidth="1"/>
    <col min="5639" max="5639" width="19.140625" style="651" customWidth="1"/>
    <col min="5640" max="5888" width="9.140625" style="651"/>
    <col min="5889" max="5889" width="36.28515625" style="651" customWidth="1"/>
    <col min="5890" max="5890" width="31.85546875" style="651" customWidth="1"/>
    <col min="5891" max="5891" width="22.5703125" style="651" customWidth="1"/>
    <col min="5892" max="5892" width="17.42578125" style="651" customWidth="1"/>
    <col min="5893" max="5893" width="10.140625" style="651" customWidth="1"/>
    <col min="5894" max="5894" width="16.85546875" style="651" customWidth="1"/>
    <col min="5895" max="5895" width="19.140625" style="651" customWidth="1"/>
    <col min="5896" max="6144" width="9.140625" style="651"/>
    <col min="6145" max="6145" width="36.28515625" style="651" customWidth="1"/>
    <col min="6146" max="6146" width="31.85546875" style="651" customWidth="1"/>
    <col min="6147" max="6147" width="22.5703125" style="651" customWidth="1"/>
    <col min="6148" max="6148" width="17.42578125" style="651" customWidth="1"/>
    <col min="6149" max="6149" width="10.140625" style="651" customWidth="1"/>
    <col min="6150" max="6150" width="16.85546875" style="651" customWidth="1"/>
    <col min="6151" max="6151" width="19.140625" style="651" customWidth="1"/>
    <col min="6152" max="6400" width="9.140625" style="651"/>
    <col min="6401" max="6401" width="36.28515625" style="651" customWidth="1"/>
    <col min="6402" max="6402" width="31.85546875" style="651" customWidth="1"/>
    <col min="6403" max="6403" width="22.5703125" style="651" customWidth="1"/>
    <col min="6404" max="6404" width="17.42578125" style="651" customWidth="1"/>
    <col min="6405" max="6405" width="10.140625" style="651" customWidth="1"/>
    <col min="6406" max="6406" width="16.85546875" style="651" customWidth="1"/>
    <col min="6407" max="6407" width="19.140625" style="651" customWidth="1"/>
    <col min="6408" max="6656" width="9.140625" style="651"/>
    <col min="6657" max="6657" width="36.28515625" style="651" customWidth="1"/>
    <col min="6658" max="6658" width="31.85546875" style="651" customWidth="1"/>
    <col min="6659" max="6659" width="22.5703125" style="651" customWidth="1"/>
    <col min="6660" max="6660" width="17.42578125" style="651" customWidth="1"/>
    <col min="6661" max="6661" width="10.140625" style="651" customWidth="1"/>
    <col min="6662" max="6662" width="16.85546875" style="651" customWidth="1"/>
    <col min="6663" max="6663" width="19.140625" style="651" customWidth="1"/>
    <col min="6664" max="6912" width="9.140625" style="651"/>
    <col min="6913" max="6913" width="36.28515625" style="651" customWidth="1"/>
    <col min="6914" max="6914" width="31.85546875" style="651" customWidth="1"/>
    <col min="6915" max="6915" width="22.5703125" style="651" customWidth="1"/>
    <col min="6916" max="6916" width="17.42578125" style="651" customWidth="1"/>
    <col min="6917" max="6917" width="10.140625" style="651" customWidth="1"/>
    <col min="6918" max="6918" width="16.85546875" style="651" customWidth="1"/>
    <col min="6919" max="6919" width="19.140625" style="651" customWidth="1"/>
    <col min="6920" max="7168" width="9.140625" style="651"/>
    <col min="7169" max="7169" width="36.28515625" style="651" customWidth="1"/>
    <col min="7170" max="7170" width="31.85546875" style="651" customWidth="1"/>
    <col min="7171" max="7171" width="22.5703125" style="651" customWidth="1"/>
    <col min="7172" max="7172" width="17.42578125" style="651" customWidth="1"/>
    <col min="7173" max="7173" width="10.140625" style="651" customWidth="1"/>
    <col min="7174" max="7174" width="16.85546875" style="651" customWidth="1"/>
    <col min="7175" max="7175" width="19.140625" style="651" customWidth="1"/>
    <col min="7176" max="7424" width="9.140625" style="651"/>
    <col min="7425" max="7425" width="36.28515625" style="651" customWidth="1"/>
    <col min="7426" max="7426" width="31.85546875" style="651" customWidth="1"/>
    <col min="7427" max="7427" width="22.5703125" style="651" customWidth="1"/>
    <col min="7428" max="7428" width="17.42578125" style="651" customWidth="1"/>
    <col min="7429" max="7429" width="10.140625" style="651" customWidth="1"/>
    <col min="7430" max="7430" width="16.85546875" style="651" customWidth="1"/>
    <col min="7431" max="7431" width="19.140625" style="651" customWidth="1"/>
    <col min="7432" max="7680" width="9.140625" style="651"/>
    <col min="7681" max="7681" width="36.28515625" style="651" customWidth="1"/>
    <col min="7682" max="7682" width="31.85546875" style="651" customWidth="1"/>
    <col min="7683" max="7683" width="22.5703125" style="651" customWidth="1"/>
    <col min="7684" max="7684" width="17.42578125" style="651" customWidth="1"/>
    <col min="7685" max="7685" width="10.140625" style="651" customWidth="1"/>
    <col min="7686" max="7686" width="16.85546875" style="651" customWidth="1"/>
    <col min="7687" max="7687" width="19.140625" style="651" customWidth="1"/>
    <col min="7688" max="7936" width="9.140625" style="651"/>
    <col min="7937" max="7937" width="36.28515625" style="651" customWidth="1"/>
    <col min="7938" max="7938" width="31.85546875" style="651" customWidth="1"/>
    <col min="7939" max="7939" width="22.5703125" style="651" customWidth="1"/>
    <col min="7940" max="7940" width="17.42578125" style="651" customWidth="1"/>
    <col min="7941" max="7941" width="10.140625" style="651" customWidth="1"/>
    <col min="7942" max="7942" width="16.85546875" style="651" customWidth="1"/>
    <col min="7943" max="7943" width="19.140625" style="651" customWidth="1"/>
    <col min="7944" max="8192" width="9.140625" style="651"/>
    <col min="8193" max="8193" width="36.28515625" style="651" customWidth="1"/>
    <col min="8194" max="8194" width="31.85546875" style="651" customWidth="1"/>
    <col min="8195" max="8195" width="22.5703125" style="651" customWidth="1"/>
    <col min="8196" max="8196" width="17.42578125" style="651" customWidth="1"/>
    <col min="8197" max="8197" width="10.140625" style="651" customWidth="1"/>
    <col min="8198" max="8198" width="16.85546875" style="651" customWidth="1"/>
    <col min="8199" max="8199" width="19.140625" style="651" customWidth="1"/>
    <col min="8200" max="8448" width="9.140625" style="651"/>
    <col min="8449" max="8449" width="36.28515625" style="651" customWidth="1"/>
    <col min="8450" max="8450" width="31.85546875" style="651" customWidth="1"/>
    <col min="8451" max="8451" width="22.5703125" style="651" customWidth="1"/>
    <col min="8452" max="8452" width="17.42578125" style="651" customWidth="1"/>
    <col min="8453" max="8453" width="10.140625" style="651" customWidth="1"/>
    <col min="8454" max="8454" width="16.85546875" style="651" customWidth="1"/>
    <col min="8455" max="8455" width="19.140625" style="651" customWidth="1"/>
    <col min="8456" max="8704" width="9.140625" style="651"/>
    <col min="8705" max="8705" width="36.28515625" style="651" customWidth="1"/>
    <col min="8706" max="8706" width="31.85546875" style="651" customWidth="1"/>
    <col min="8707" max="8707" width="22.5703125" style="651" customWidth="1"/>
    <col min="8708" max="8708" width="17.42578125" style="651" customWidth="1"/>
    <col min="8709" max="8709" width="10.140625" style="651" customWidth="1"/>
    <col min="8710" max="8710" width="16.85546875" style="651" customWidth="1"/>
    <col min="8711" max="8711" width="19.140625" style="651" customWidth="1"/>
    <col min="8712" max="8960" width="9.140625" style="651"/>
    <col min="8961" max="8961" width="36.28515625" style="651" customWidth="1"/>
    <col min="8962" max="8962" width="31.85546875" style="651" customWidth="1"/>
    <col min="8963" max="8963" width="22.5703125" style="651" customWidth="1"/>
    <col min="8964" max="8964" width="17.42578125" style="651" customWidth="1"/>
    <col min="8965" max="8965" width="10.140625" style="651" customWidth="1"/>
    <col min="8966" max="8966" width="16.85546875" style="651" customWidth="1"/>
    <col min="8967" max="8967" width="19.140625" style="651" customWidth="1"/>
    <col min="8968" max="9216" width="9.140625" style="651"/>
    <col min="9217" max="9217" width="36.28515625" style="651" customWidth="1"/>
    <col min="9218" max="9218" width="31.85546875" style="651" customWidth="1"/>
    <col min="9219" max="9219" width="22.5703125" style="651" customWidth="1"/>
    <col min="9220" max="9220" width="17.42578125" style="651" customWidth="1"/>
    <col min="9221" max="9221" width="10.140625" style="651" customWidth="1"/>
    <col min="9222" max="9222" width="16.85546875" style="651" customWidth="1"/>
    <col min="9223" max="9223" width="19.140625" style="651" customWidth="1"/>
    <col min="9224" max="9472" width="9.140625" style="651"/>
    <col min="9473" max="9473" width="36.28515625" style="651" customWidth="1"/>
    <col min="9474" max="9474" width="31.85546875" style="651" customWidth="1"/>
    <col min="9475" max="9475" width="22.5703125" style="651" customWidth="1"/>
    <col min="9476" max="9476" width="17.42578125" style="651" customWidth="1"/>
    <col min="9477" max="9477" width="10.140625" style="651" customWidth="1"/>
    <col min="9478" max="9478" width="16.85546875" style="651" customWidth="1"/>
    <col min="9479" max="9479" width="19.140625" style="651" customWidth="1"/>
    <col min="9480" max="9728" width="9.140625" style="651"/>
    <col min="9729" max="9729" width="36.28515625" style="651" customWidth="1"/>
    <col min="9730" max="9730" width="31.85546875" style="651" customWidth="1"/>
    <col min="9731" max="9731" width="22.5703125" style="651" customWidth="1"/>
    <col min="9732" max="9732" width="17.42578125" style="651" customWidth="1"/>
    <col min="9733" max="9733" width="10.140625" style="651" customWidth="1"/>
    <col min="9734" max="9734" width="16.85546875" style="651" customWidth="1"/>
    <col min="9735" max="9735" width="19.140625" style="651" customWidth="1"/>
    <col min="9736" max="9984" width="9.140625" style="651"/>
    <col min="9985" max="9985" width="36.28515625" style="651" customWidth="1"/>
    <col min="9986" max="9986" width="31.85546875" style="651" customWidth="1"/>
    <col min="9987" max="9987" width="22.5703125" style="651" customWidth="1"/>
    <col min="9988" max="9988" width="17.42578125" style="651" customWidth="1"/>
    <col min="9989" max="9989" width="10.140625" style="651" customWidth="1"/>
    <col min="9990" max="9990" width="16.85546875" style="651" customWidth="1"/>
    <col min="9991" max="9991" width="19.140625" style="651" customWidth="1"/>
    <col min="9992" max="10240" width="9.140625" style="651"/>
    <col min="10241" max="10241" width="36.28515625" style="651" customWidth="1"/>
    <col min="10242" max="10242" width="31.85546875" style="651" customWidth="1"/>
    <col min="10243" max="10243" width="22.5703125" style="651" customWidth="1"/>
    <col min="10244" max="10244" width="17.42578125" style="651" customWidth="1"/>
    <col min="10245" max="10245" width="10.140625" style="651" customWidth="1"/>
    <col min="10246" max="10246" width="16.85546875" style="651" customWidth="1"/>
    <col min="10247" max="10247" width="19.140625" style="651" customWidth="1"/>
    <col min="10248" max="10496" width="9.140625" style="651"/>
    <col min="10497" max="10497" width="36.28515625" style="651" customWidth="1"/>
    <col min="10498" max="10498" width="31.85546875" style="651" customWidth="1"/>
    <col min="10499" max="10499" width="22.5703125" style="651" customWidth="1"/>
    <col min="10500" max="10500" width="17.42578125" style="651" customWidth="1"/>
    <col min="10501" max="10501" width="10.140625" style="651" customWidth="1"/>
    <col min="10502" max="10502" width="16.85546875" style="651" customWidth="1"/>
    <col min="10503" max="10503" width="19.140625" style="651" customWidth="1"/>
    <col min="10504" max="10752" width="9.140625" style="651"/>
    <col min="10753" max="10753" width="36.28515625" style="651" customWidth="1"/>
    <col min="10754" max="10754" width="31.85546875" style="651" customWidth="1"/>
    <col min="10755" max="10755" width="22.5703125" style="651" customWidth="1"/>
    <col min="10756" max="10756" width="17.42578125" style="651" customWidth="1"/>
    <col min="10757" max="10757" width="10.140625" style="651" customWidth="1"/>
    <col min="10758" max="10758" width="16.85546875" style="651" customWidth="1"/>
    <col min="10759" max="10759" width="19.140625" style="651" customWidth="1"/>
    <col min="10760" max="11008" width="9.140625" style="651"/>
    <col min="11009" max="11009" width="36.28515625" style="651" customWidth="1"/>
    <col min="11010" max="11010" width="31.85546875" style="651" customWidth="1"/>
    <col min="11011" max="11011" width="22.5703125" style="651" customWidth="1"/>
    <col min="11012" max="11012" width="17.42578125" style="651" customWidth="1"/>
    <col min="11013" max="11013" width="10.140625" style="651" customWidth="1"/>
    <col min="11014" max="11014" width="16.85546875" style="651" customWidth="1"/>
    <col min="11015" max="11015" width="19.140625" style="651" customWidth="1"/>
    <col min="11016" max="11264" width="9.140625" style="651"/>
    <col min="11265" max="11265" width="36.28515625" style="651" customWidth="1"/>
    <col min="11266" max="11266" width="31.85546875" style="651" customWidth="1"/>
    <col min="11267" max="11267" width="22.5703125" style="651" customWidth="1"/>
    <col min="11268" max="11268" width="17.42578125" style="651" customWidth="1"/>
    <col min="11269" max="11269" width="10.140625" style="651" customWidth="1"/>
    <col min="11270" max="11270" width="16.85546875" style="651" customWidth="1"/>
    <col min="11271" max="11271" width="19.140625" style="651" customWidth="1"/>
    <col min="11272" max="11520" width="9.140625" style="651"/>
    <col min="11521" max="11521" width="36.28515625" style="651" customWidth="1"/>
    <col min="11522" max="11522" width="31.85546875" style="651" customWidth="1"/>
    <col min="11523" max="11523" width="22.5703125" style="651" customWidth="1"/>
    <col min="11524" max="11524" width="17.42578125" style="651" customWidth="1"/>
    <col min="11525" max="11525" width="10.140625" style="651" customWidth="1"/>
    <col min="11526" max="11526" width="16.85546875" style="651" customWidth="1"/>
    <col min="11527" max="11527" width="19.140625" style="651" customWidth="1"/>
    <col min="11528" max="11776" width="9.140625" style="651"/>
    <col min="11777" max="11777" width="36.28515625" style="651" customWidth="1"/>
    <col min="11778" max="11778" width="31.85546875" style="651" customWidth="1"/>
    <col min="11779" max="11779" width="22.5703125" style="651" customWidth="1"/>
    <col min="11780" max="11780" width="17.42578125" style="651" customWidth="1"/>
    <col min="11781" max="11781" width="10.140625" style="651" customWidth="1"/>
    <col min="11782" max="11782" width="16.85546875" style="651" customWidth="1"/>
    <col min="11783" max="11783" width="19.140625" style="651" customWidth="1"/>
    <col min="11784" max="12032" width="9.140625" style="651"/>
    <col min="12033" max="12033" width="36.28515625" style="651" customWidth="1"/>
    <col min="12034" max="12034" width="31.85546875" style="651" customWidth="1"/>
    <col min="12035" max="12035" width="22.5703125" style="651" customWidth="1"/>
    <col min="12036" max="12036" width="17.42578125" style="651" customWidth="1"/>
    <col min="12037" max="12037" width="10.140625" style="651" customWidth="1"/>
    <col min="12038" max="12038" width="16.85546875" style="651" customWidth="1"/>
    <col min="12039" max="12039" width="19.140625" style="651" customWidth="1"/>
    <col min="12040" max="12288" width="9.140625" style="651"/>
    <col min="12289" max="12289" width="36.28515625" style="651" customWidth="1"/>
    <col min="12290" max="12290" width="31.85546875" style="651" customWidth="1"/>
    <col min="12291" max="12291" width="22.5703125" style="651" customWidth="1"/>
    <col min="12292" max="12292" width="17.42578125" style="651" customWidth="1"/>
    <col min="12293" max="12293" width="10.140625" style="651" customWidth="1"/>
    <col min="12294" max="12294" width="16.85546875" style="651" customWidth="1"/>
    <col min="12295" max="12295" width="19.140625" style="651" customWidth="1"/>
    <col min="12296" max="12544" width="9.140625" style="651"/>
    <col min="12545" max="12545" width="36.28515625" style="651" customWidth="1"/>
    <col min="12546" max="12546" width="31.85546875" style="651" customWidth="1"/>
    <col min="12547" max="12547" width="22.5703125" style="651" customWidth="1"/>
    <col min="12548" max="12548" width="17.42578125" style="651" customWidth="1"/>
    <col min="12549" max="12549" width="10.140625" style="651" customWidth="1"/>
    <col min="12550" max="12550" width="16.85546875" style="651" customWidth="1"/>
    <col min="12551" max="12551" width="19.140625" style="651" customWidth="1"/>
    <col min="12552" max="12800" width="9.140625" style="651"/>
    <col min="12801" max="12801" width="36.28515625" style="651" customWidth="1"/>
    <col min="12802" max="12802" width="31.85546875" style="651" customWidth="1"/>
    <col min="12803" max="12803" width="22.5703125" style="651" customWidth="1"/>
    <col min="12804" max="12804" width="17.42578125" style="651" customWidth="1"/>
    <col min="12805" max="12805" width="10.140625" style="651" customWidth="1"/>
    <col min="12806" max="12806" width="16.85546875" style="651" customWidth="1"/>
    <col min="12807" max="12807" width="19.140625" style="651" customWidth="1"/>
    <col min="12808" max="13056" width="9.140625" style="651"/>
    <col min="13057" max="13057" width="36.28515625" style="651" customWidth="1"/>
    <col min="13058" max="13058" width="31.85546875" style="651" customWidth="1"/>
    <col min="13059" max="13059" width="22.5703125" style="651" customWidth="1"/>
    <col min="13060" max="13060" width="17.42578125" style="651" customWidth="1"/>
    <col min="13061" max="13061" width="10.140625" style="651" customWidth="1"/>
    <col min="13062" max="13062" width="16.85546875" style="651" customWidth="1"/>
    <col min="13063" max="13063" width="19.140625" style="651" customWidth="1"/>
    <col min="13064" max="13312" width="9.140625" style="651"/>
    <col min="13313" max="13313" width="36.28515625" style="651" customWidth="1"/>
    <col min="13314" max="13314" width="31.85546875" style="651" customWidth="1"/>
    <col min="13315" max="13315" width="22.5703125" style="651" customWidth="1"/>
    <col min="13316" max="13316" width="17.42578125" style="651" customWidth="1"/>
    <col min="13317" max="13317" width="10.140625" style="651" customWidth="1"/>
    <col min="13318" max="13318" width="16.85546875" style="651" customWidth="1"/>
    <col min="13319" max="13319" width="19.140625" style="651" customWidth="1"/>
    <col min="13320" max="13568" width="9.140625" style="651"/>
    <col min="13569" max="13569" width="36.28515625" style="651" customWidth="1"/>
    <col min="13570" max="13570" width="31.85546875" style="651" customWidth="1"/>
    <col min="13571" max="13571" width="22.5703125" style="651" customWidth="1"/>
    <col min="13572" max="13572" width="17.42578125" style="651" customWidth="1"/>
    <col min="13573" max="13573" width="10.140625" style="651" customWidth="1"/>
    <col min="13574" max="13574" width="16.85546875" style="651" customWidth="1"/>
    <col min="13575" max="13575" width="19.140625" style="651" customWidth="1"/>
    <col min="13576" max="13824" width="9.140625" style="651"/>
    <col min="13825" max="13825" width="36.28515625" style="651" customWidth="1"/>
    <col min="13826" max="13826" width="31.85546875" style="651" customWidth="1"/>
    <col min="13827" max="13827" width="22.5703125" style="651" customWidth="1"/>
    <col min="13828" max="13828" width="17.42578125" style="651" customWidth="1"/>
    <col min="13829" max="13829" width="10.140625" style="651" customWidth="1"/>
    <col min="13830" max="13830" width="16.85546875" style="651" customWidth="1"/>
    <col min="13831" max="13831" width="19.140625" style="651" customWidth="1"/>
    <col min="13832" max="14080" width="9.140625" style="651"/>
    <col min="14081" max="14081" width="36.28515625" style="651" customWidth="1"/>
    <col min="14082" max="14082" width="31.85546875" style="651" customWidth="1"/>
    <col min="14083" max="14083" width="22.5703125" style="651" customWidth="1"/>
    <col min="14084" max="14084" width="17.42578125" style="651" customWidth="1"/>
    <col min="14085" max="14085" width="10.140625" style="651" customWidth="1"/>
    <col min="14086" max="14086" width="16.85546875" style="651" customWidth="1"/>
    <col min="14087" max="14087" width="19.140625" style="651" customWidth="1"/>
    <col min="14088" max="14336" width="9.140625" style="651"/>
    <col min="14337" max="14337" width="36.28515625" style="651" customWidth="1"/>
    <col min="14338" max="14338" width="31.85546875" style="651" customWidth="1"/>
    <col min="14339" max="14339" width="22.5703125" style="651" customWidth="1"/>
    <col min="14340" max="14340" width="17.42578125" style="651" customWidth="1"/>
    <col min="14341" max="14341" width="10.140625" style="651" customWidth="1"/>
    <col min="14342" max="14342" width="16.85546875" style="651" customWidth="1"/>
    <col min="14343" max="14343" width="19.140625" style="651" customWidth="1"/>
    <col min="14344" max="14592" width="9.140625" style="651"/>
    <col min="14593" max="14593" width="36.28515625" style="651" customWidth="1"/>
    <col min="14594" max="14594" width="31.85546875" style="651" customWidth="1"/>
    <col min="14595" max="14595" width="22.5703125" style="651" customWidth="1"/>
    <col min="14596" max="14596" width="17.42578125" style="651" customWidth="1"/>
    <col min="14597" max="14597" width="10.140625" style="651" customWidth="1"/>
    <col min="14598" max="14598" width="16.85546875" style="651" customWidth="1"/>
    <col min="14599" max="14599" width="19.140625" style="651" customWidth="1"/>
    <col min="14600" max="14848" width="9.140625" style="651"/>
    <col min="14849" max="14849" width="36.28515625" style="651" customWidth="1"/>
    <col min="14850" max="14850" width="31.85546875" style="651" customWidth="1"/>
    <col min="14851" max="14851" width="22.5703125" style="651" customWidth="1"/>
    <col min="14852" max="14852" width="17.42578125" style="651" customWidth="1"/>
    <col min="14853" max="14853" width="10.140625" style="651" customWidth="1"/>
    <col min="14854" max="14854" width="16.85546875" style="651" customWidth="1"/>
    <col min="14855" max="14855" width="19.140625" style="651" customWidth="1"/>
    <col min="14856" max="15104" width="9.140625" style="651"/>
    <col min="15105" max="15105" width="36.28515625" style="651" customWidth="1"/>
    <col min="15106" max="15106" width="31.85546875" style="651" customWidth="1"/>
    <col min="15107" max="15107" width="22.5703125" style="651" customWidth="1"/>
    <col min="15108" max="15108" width="17.42578125" style="651" customWidth="1"/>
    <col min="15109" max="15109" width="10.140625" style="651" customWidth="1"/>
    <col min="15110" max="15110" width="16.85546875" style="651" customWidth="1"/>
    <col min="15111" max="15111" width="19.140625" style="651" customWidth="1"/>
    <col min="15112" max="15360" width="9.140625" style="651"/>
    <col min="15361" max="15361" width="36.28515625" style="651" customWidth="1"/>
    <col min="15362" max="15362" width="31.85546875" style="651" customWidth="1"/>
    <col min="15363" max="15363" width="22.5703125" style="651" customWidth="1"/>
    <col min="15364" max="15364" width="17.42578125" style="651" customWidth="1"/>
    <col min="15365" max="15365" width="10.140625" style="651" customWidth="1"/>
    <col min="15366" max="15366" width="16.85546875" style="651" customWidth="1"/>
    <col min="15367" max="15367" width="19.140625" style="651" customWidth="1"/>
    <col min="15368" max="15616" width="9.140625" style="651"/>
    <col min="15617" max="15617" width="36.28515625" style="651" customWidth="1"/>
    <col min="15618" max="15618" width="31.85546875" style="651" customWidth="1"/>
    <col min="15619" max="15619" width="22.5703125" style="651" customWidth="1"/>
    <col min="15620" max="15620" width="17.42578125" style="651" customWidth="1"/>
    <col min="15621" max="15621" width="10.140625" style="651" customWidth="1"/>
    <col min="15622" max="15622" width="16.85546875" style="651" customWidth="1"/>
    <col min="15623" max="15623" width="19.140625" style="651" customWidth="1"/>
    <col min="15624" max="15872" width="9.140625" style="651"/>
    <col min="15873" max="15873" width="36.28515625" style="651" customWidth="1"/>
    <col min="15874" max="15874" width="31.85546875" style="651" customWidth="1"/>
    <col min="15875" max="15875" width="22.5703125" style="651" customWidth="1"/>
    <col min="15876" max="15876" width="17.42578125" style="651" customWidth="1"/>
    <col min="15877" max="15877" width="10.140625" style="651" customWidth="1"/>
    <col min="15878" max="15878" width="16.85546875" style="651" customWidth="1"/>
    <col min="15879" max="15879" width="19.140625" style="651" customWidth="1"/>
    <col min="15880" max="16128" width="9.140625" style="651"/>
    <col min="16129" max="16129" width="36.28515625" style="651" customWidth="1"/>
    <col min="16130" max="16130" width="31.85546875" style="651" customWidth="1"/>
    <col min="16131" max="16131" width="22.5703125" style="651" customWidth="1"/>
    <col min="16132" max="16132" width="17.42578125" style="651" customWidth="1"/>
    <col min="16133" max="16133" width="10.140625" style="651" customWidth="1"/>
    <col min="16134" max="16134" width="16.85546875" style="651" customWidth="1"/>
    <col min="16135" max="16135" width="19.140625" style="651" customWidth="1"/>
    <col min="16136" max="16384" width="9.140625" style="651"/>
  </cols>
  <sheetData>
    <row r="2" spans="1:7" ht="13.5" thickBot="1" x14ac:dyDescent="0.25">
      <c r="A2" s="676" t="s">
        <v>875</v>
      </c>
      <c r="B2" s="677"/>
      <c r="C2" s="677"/>
    </row>
    <row r="3" spans="1:7" ht="25.5" customHeight="1" thickBot="1" x14ac:dyDescent="0.25">
      <c r="A3" s="678" t="s">
        <v>876</v>
      </c>
      <c r="B3" s="679">
        <v>725513.39976000017</v>
      </c>
      <c r="C3" s="680" t="s">
        <v>877</v>
      </c>
    </row>
    <row r="4" spans="1:7" ht="21.75" customHeight="1" thickBot="1" x14ac:dyDescent="0.25">
      <c r="A4" s="681" t="s">
        <v>878</v>
      </c>
      <c r="B4" s="679">
        <v>23410.189020000013</v>
      </c>
      <c r="C4" s="682">
        <v>3.2267066366719215E-2</v>
      </c>
    </row>
    <row r="5" spans="1:7" ht="21.75" customHeight="1" thickBot="1" x14ac:dyDescent="0.25">
      <c r="A5" s="681" t="s">
        <v>879</v>
      </c>
      <c r="B5" s="679">
        <v>10738.591630000003</v>
      </c>
      <c r="C5" s="682">
        <v>1.4801369118133902E-2</v>
      </c>
    </row>
    <row r="6" spans="1:7" ht="21.75" customHeight="1" thickBot="1" x14ac:dyDescent="0.25">
      <c r="A6" s="681" t="s">
        <v>880</v>
      </c>
      <c r="B6" s="679">
        <v>1321.1293500000004</v>
      </c>
      <c r="C6" s="683">
        <v>1.8209578905600226E-3</v>
      </c>
    </row>
    <row r="7" spans="1:7" ht="21.75" customHeight="1" thickBot="1" x14ac:dyDescent="0.25">
      <c r="A7" s="681" t="s">
        <v>881</v>
      </c>
      <c r="B7" s="679">
        <v>2713.1459900000009</v>
      </c>
      <c r="C7" s="683">
        <v>3.7396221639703821E-3</v>
      </c>
    </row>
    <row r="8" spans="1:7" ht="21.75" customHeight="1" thickBot="1" x14ac:dyDescent="0.25">
      <c r="A8" s="681" t="s">
        <v>882</v>
      </c>
      <c r="B8" s="679">
        <v>356569.64335000009</v>
      </c>
      <c r="C8" s="683">
        <v>0.49147216780276326</v>
      </c>
    </row>
    <row r="9" spans="1:7" ht="21.75" customHeight="1" thickBot="1" x14ac:dyDescent="0.25">
      <c r="A9" s="681" t="s">
        <v>883</v>
      </c>
      <c r="B9" s="679">
        <v>2154.4477099999999</v>
      </c>
      <c r="C9" s="683">
        <v>2.9695491643747605E-3</v>
      </c>
    </row>
    <row r="10" spans="1:7" ht="21.75" customHeight="1" thickBot="1" x14ac:dyDescent="0.25">
      <c r="A10" s="681" t="s">
        <v>884</v>
      </c>
      <c r="B10" s="679">
        <v>30026</v>
      </c>
      <c r="C10" s="683">
        <v>4.1386581543404674E-2</v>
      </c>
    </row>
    <row r="11" spans="1:7" ht="21.75" customHeight="1" thickBot="1" x14ac:dyDescent="0.25">
      <c r="A11" s="681" t="s">
        <v>885</v>
      </c>
      <c r="B11" s="679">
        <v>7413.0362000000005</v>
      </c>
      <c r="C11" s="683">
        <v>1.0217642020743149E-2</v>
      </c>
      <c r="D11" s="684"/>
      <c r="E11" s="685"/>
    </row>
    <row r="12" spans="1:7" ht="13.5" customHeight="1" thickBot="1" x14ac:dyDescent="0.25">
      <c r="A12" s="686" t="s">
        <v>886</v>
      </c>
      <c r="B12" s="686"/>
      <c r="C12" s="686"/>
      <c r="D12" s="684"/>
    </row>
    <row r="13" spans="1:7" ht="13.5" thickBot="1" x14ac:dyDescent="0.25">
      <c r="A13" s="686" t="s">
        <v>887</v>
      </c>
      <c r="B13" s="686"/>
      <c r="C13" s="686"/>
      <c r="D13" s="684"/>
    </row>
    <row r="14" spans="1:7" ht="45.75" thickBot="1" x14ac:dyDescent="0.25">
      <c r="A14" s="687" t="s">
        <v>888</v>
      </c>
      <c r="B14" s="688">
        <v>135178.89202999999</v>
      </c>
      <c r="C14" s="689">
        <v>0.18632170277587867</v>
      </c>
      <c r="D14" s="684"/>
    </row>
    <row r="15" spans="1:7" ht="30.75" thickBot="1" x14ac:dyDescent="0.25">
      <c r="A15" s="687" t="s">
        <v>889</v>
      </c>
      <c r="B15" s="688">
        <v>46236.784589999559</v>
      </c>
      <c r="C15" s="689">
        <v>6.3729745867264043E-2</v>
      </c>
      <c r="D15" s="684"/>
      <c r="E15" s="690"/>
      <c r="F15" s="691"/>
      <c r="G15" s="692"/>
    </row>
    <row r="16" spans="1:7" ht="30.75" thickBot="1" x14ac:dyDescent="0.25">
      <c r="A16" s="687" t="s">
        <v>890</v>
      </c>
      <c r="B16" s="688">
        <v>32347.881850000591</v>
      </c>
      <c r="C16" s="689">
        <v>4.4586194907911103E-2</v>
      </c>
      <c r="D16" s="684"/>
      <c r="E16" s="690"/>
      <c r="F16" s="691"/>
      <c r="G16" s="692"/>
    </row>
    <row r="17" spans="1:7" ht="39" thickBot="1" x14ac:dyDescent="0.25">
      <c r="A17" s="693" t="s">
        <v>891</v>
      </c>
      <c r="B17" s="688">
        <v>58678.139940000001</v>
      </c>
      <c r="C17" s="689">
        <v>8.0878092616085015E-2</v>
      </c>
      <c r="D17" s="684"/>
    </row>
    <row r="18" spans="1:7" ht="39" thickBot="1" x14ac:dyDescent="0.25">
      <c r="A18" s="693" t="s">
        <v>892</v>
      </c>
      <c r="B18" s="688">
        <v>18724.998620000006</v>
      </c>
      <c r="C18" s="689">
        <v>2.5809307762191896E-2</v>
      </c>
      <c r="D18" s="684"/>
      <c r="E18" s="685"/>
    </row>
    <row r="19" spans="1:7" x14ac:dyDescent="0.2">
      <c r="A19" s="694"/>
      <c r="B19" s="694"/>
      <c r="C19" s="694"/>
      <c r="D19" s="695"/>
      <c r="E19"/>
      <c r="F19"/>
      <c r="G19"/>
    </row>
    <row r="20" spans="1:7" x14ac:dyDescent="0.2">
      <c r="A20" s="694"/>
      <c r="B20" s="694"/>
      <c r="C20" s="694"/>
      <c r="D20" s="685"/>
      <c r="E20" s="685"/>
    </row>
    <row r="21" spans="1:7" x14ac:dyDescent="0.2">
      <c r="A21" s="696"/>
      <c r="B21" s="697"/>
      <c r="C21" s="694"/>
    </row>
    <row r="22" spans="1:7" x14ac:dyDescent="0.2">
      <c r="A22" s="694"/>
      <c r="B22" s="694"/>
      <c r="C22" s="694"/>
    </row>
    <row r="24" spans="1:7" x14ac:dyDescent="0.2">
      <c r="B24" s="685"/>
    </row>
    <row r="25" spans="1:7" x14ac:dyDescent="0.2">
      <c r="A25" s="698"/>
      <c r="B25"/>
    </row>
    <row r="32" spans="1:7" x14ac:dyDescent="0.2">
      <c r="C32" s="692"/>
    </row>
    <row r="33" spans="3:3" x14ac:dyDescent="0.2">
      <c r="C33" s="692"/>
    </row>
    <row r="34" spans="3:3" x14ac:dyDescent="0.2">
      <c r="C34" s="692"/>
    </row>
  </sheetData>
  <mergeCells count="3">
    <mergeCell ref="A2:C2"/>
    <mergeCell ref="A12:C12"/>
    <mergeCell ref="A13:C1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2FED"/>
  </sheetPr>
  <dimension ref="A1:M41"/>
  <sheetViews>
    <sheetView zoomScale="85" workbookViewId="0">
      <selection activeCell="C22" sqref="C22:H22"/>
    </sheetView>
  </sheetViews>
  <sheetFormatPr defaultRowHeight="12.75" x14ac:dyDescent="0.2"/>
  <cols>
    <col min="1" max="1" width="21.140625" style="701" customWidth="1"/>
    <col min="2" max="2" width="22.140625" style="701" customWidth="1"/>
    <col min="3" max="3" width="21.28515625" style="701" customWidth="1"/>
    <col min="4" max="4" width="21.85546875" style="701" customWidth="1"/>
    <col min="5" max="5" width="9.140625" style="701"/>
    <col min="6" max="6" width="17.140625" style="701" bestFit="1" customWidth="1"/>
    <col min="7" max="7" width="11.42578125" style="701" bestFit="1" customWidth="1"/>
    <col min="8" max="8" width="12.85546875" style="701" bestFit="1" customWidth="1"/>
    <col min="9" max="12" width="9.140625" style="701"/>
    <col min="13" max="13" width="13.5703125" style="701" bestFit="1" customWidth="1"/>
    <col min="14" max="256" width="9.140625" style="701"/>
    <col min="257" max="257" width="21.140625" style="701" customWidth="1"/>
    <col min="258" max="258" width="22.140625" style="701" customWidth="1"/>
    <col min="259" max="259" width="21.28515625" style="701" customWidth="1"/>
    <col min="260" max="260" width="21.85546875" style="701" customWidth="1"/>
    <col min="261" max="261" width="9.140625" style="701"/>
    <col min="262" max="262" width="17.140625" style="701" bestFit="1" customWidth="1"/>
    <col min="263" max="263" width="11.42578125" style="701" bestFit="1" customWidth="1"/>
    <col min="264" max="264" width="12.85546875" style="701" bestFit="1" customWidth="1"/>
    <col min="265" max="268" width="9.140625" style="701"/>
    <col min="269" max="269" width="13.5703125" style="701" bestFit="1" customWidth="1"/>
    <col min="270" max="512" width="9.140625" style="701"/>
    <col min="513" max="513" width="21.140625" style="701" customWidth="1"/>
    <col min="514" max="514" width="22.140625" style="701" customWidth="1"/>
    <col min="515" max="515" width="21.28515625" style="701" customWidth="1"/>
    <col min="516" max="516" width="21.85546875" style="701" customWidth="1"/>
    <col min="517" max="517" width="9.140625" style="701"/>
    <col min="518" max="518" width="17.140625" style="701" bestFit="1" customWidth="1"/>
    <col min="519" max="519" width="11.42578125" style="701" bestFit="1" customWidth="1"/>
    <col min="520" max="520" width="12.85546875" style="701" bestFit="1" customWidth="1"/>
    <col min="521" max="524" width="9.140625" style="701"/>
    <col min="525" max="525" width="13.5703125" style="701" bestFit="1" customWidth="1"/>
    <col min="526" max="768" width="9.140625" style="701"/>
    <col min="769" max="769" width="21.140625" style="701" customWidth="1"/>
    <col min="770" max="770" width="22.140625" style="701" customWidth="1"/>
    <col min="771" max="771" width="21.28515625" style="701" customWidth="1"/>
    <col min="772" max="772" width="21.85546875" style="701" customWidth="1"/>
    <col min="773" max="773" width="9.140625" style="701"/>
    <col min="774" max="774" width="17.140625" style="701" bestFit="1" customWidth="1"/>
    <col min="775" max="775" width="11.42578125" style="701" bestFit="1" customWidth="1"/>
    <col min="776" max="776" width="12.85546875" style="701" bestFit="1" customWidth="1"/>
    <col min="777" max="780" width="9.140625" style="701"/>
    <col min="781" max="781" width="13.5703125" style="701" bestFit="1" customWidth="1"/>
    <col min="782" max="1024" width="9.140625" style="701"/>
    <col min="1025" max="1025" width="21.140625" style="701" customWidth="1"/>
    <col min="1026" max="1026" width="22.140625" style="701" customWidth="1"/>
    <col min="1027" max="1027" width="21.28515625" style="701" customWidth="1"/>
    <col min="1028" max="1028" width="21.85546875" style="701" customWidth="1"/>
    <col min="1029" max="1029" width="9.140625" style="701"/>
    <col min="1030" max="1030" width="17.140625" style="701" bestFit="1" customWidth="1"/>
    <col min="1031" max="1031" width="11.42578125" style="701" bestFit="1" customWidth="1"/>
    <col min="1032" max="1032" width="12.85546875" style="701" bestFit="1" customWidth="1"/>
    <col min="1033" max="1036" width="9.140625" style="701"/>
    <col min="1037" max="1037" width="13.5703125" style="701" bestFit="1" customWidth="1"/>
    <col min="1038" max="1280" width="9.140625" style="701"/>
    <col min="1281" max="1281" width="21.140625" style="701" customWidth="1"/>
    <col min="1282" max="1282" width="22.140625" style="701" customWidth="1"/>
    <col min="1283" max="1283" width="21.28515625" style="701" customWidth="1"/>
    <col min="1284" max="1284" width="21.85546875" style="701" customWidth="1"/>
    <col min="1285" max="1285" width="9.140625" style="701"/>
    <col min="1286" max="1286" width="17.140625" style="701" bestFit="1" customWidth="1"/>
    <col min="1287" max="1287" width="11.42578125" style="701" bestFit="1" customWidth="1"/>
    <col min="1288" max="1288" width="12.85546875" style="701" bestFit="1" customWidth="1"/>
    <col min="1289" max="1292" width="9.140625" style="701"/>
    <col min="1293" max="1293" width="13.5703125" style="701" bestFit="1" customWidth="1"/>
    <col min="1294" max="1536" width="9.140625" style="701"/>
    <col min="1537" max="1537" width="21.140625" style="701" customWidth="1"/>
    <col min="1538" max="1538" width="22.140625" style="701" customWidth="1"/>
    <col min="1539" max="1539" width="21.28515625" style="701" customWidth="1"/>
    <col min="1540" max="1540" width="21.85546875" style="701" customWidth="1"/>
    <col min="1541" max="1541" width="9.140625" style="701"/>
    <col min="1542" max="1542" width="17.140625" style="701" bestFit="1" customWidth="1"/>
    <col min="1543" max="1543" width="11.42578125" style="701" bestFit="1" customWidth="1"/>
    <col min="1544" max="1544" width="12.85546875" style="701" bestFit="1" customWidth="1"/>
    <col min="1545" max="1548" width="9.140625" style="701"/>
    <col min="1549" max="1549" width="13.5703125" style="701" bestFit="1" customWidth="1"/>
    <col min="1550" max="1792" width="9.140625" style="701"/>
    <col min="1793" max="1793" width="21.140625" style="701" customWidth="1"/>
    <col min="1794" max="1794" width="22.140625" style="701" customWidth="1"/>
    <col min="1795" max="1795" width="21.28515625" style="701" customWidth="1"/>
    <col min="1796" max="1796" width="21.85546875" style="701" customWidth="1"/>
    <col min="1797" max="1797" width="9.140625" style="701"/>
    <col min="1798" max="1798" width="17.140625" style="701" bestFit="1" customWidth="1"/>
    <col min="1799" max="1799" width="11.42578125" style="701" bestFit="1" customWidth="1"/>
    <col min="1800" max="1800" width="12.85546875" style="701" bestFit="1" customWidth="1"/>
    <col min="1801" max="1804" width="9.140625" style="701"/>
    <col min="1805" max="1805" width="13.5703125" style="701" bestFit="1" customWidth="1"/>
    <col min="1806" max="2048" width="9.140625" style="701"/>
    <col min="2049" max="2049" width="21.140625" style="701" customWidth="1"/>
    <col min="2050" max="2050" width="22.140625" style="701" customWidth="1"/>
    <col min="2051" max="2051" width="21.28515625" style="701" customWidth="1"/>
    <col min="2052" max="2052" width="21.85546875" style="701" customWidth="1"/>
    <col min="2053" max="2053" width="9.140625" style="701"/>
    <col min="2054" max="2054" width="17.140625" style="701" bestFit="1" customWidth="1"/>
    <col min="2055" max="2055" width="11.42578125" style="701" bestFit="1" customWidth="1"/>
    <col min="2056" max="2056" width="12.85546875" style="701" bestFit="1" customWidth="1"/>
    <col min="2057" max="2060" width="9.140625" style="701"/>
    <col min="2061" max="2061" width="13.5703125" style="701" bestFit="1" customWidth="1"/>
    <col min="2062" max="2304" width="9.140625" style="701"/>
    <col min="2305" max="2305" width="21.140625" style="701" customWidth="1"/>
    <col min="2306" max="2306" width="22.140625" style="701" customWidth="1"/>
    <col min="2307" max="2307" width="21.28515625" style="701" customWidth="1"/>
    <col min="2308" max="2308" width="21.85546875" style="701" customWidth="1"/>
    <col min="2309" max="2309" width="9.140625" style="701"/>
    <col min="2310" max="2310" width="17.140625" style="701" bestFit="1" customWidth="1"/>
    <col min="2311" max="2311" width="11.42578125" style="701" bestFit="1" customWidth="1"/>
    <col min="2312" max="2312" width="12.85546875" style="701" bestFit="1" customWidth="1"/>
    <col min="2313" max="2316" width="9.140625" style="701"/>
    <col min="2317" max="2317" width="13.5703125" style="701" bestFit="1" customWidth="1"/>
    <col min="2318" max="2560" width="9.140625" style="701"/>
    <col min="2561" max="2561" width="21.140625" style="701" customWidth="1"/>
    <col min="2562" max="2562" width="22.140625" style="701" customWidth="1"/>
    <col min="2563" max="2563" width="21.28515625" style="701" customWidth="1"/>
    <col min="2564" max="2564" width="21.85546875" style="701" customWidth="1"/>
    <col min="2565" max="2565" width="9.140625" style="701"/>
    <col min="2566" max="2566" width="17.140625" style="701" bestFit="1" customWidth="1"/>
    <col min="2567" max="2567" width="11.42578125" style="701" bestFit="1" customWidth="1"/>
    <col min="2568" max="2568" width="12.85546875" style="701" bestFit="1" customWidth="1"/>
    <col min="2569" max="2572" width="9.140625" style="701"/>
    <col min="2573" max="2573" width="13.5703125" style="701" bestFit="1" customWidth="1"/>
    <col min="2574" max="2816" width="9.140625" style="701"/>
    <col min="2817" max="2817" width="21.140625" style="701" customWidth="1"/>
    <col min="2818" max="2818" width="22.140625" style="701" customWidth="1"/>
    <col min="2819" max="2819" width="21.28515625" style="701" customWidth="1"/>
    <col min="2820" max="2820" width="21.85546875" style="701" customWidth="1"/>
    <col min="2821" max="2821" width="9.140625" style="701"/>
    <col min="2822" max="2822" width="17.140625" style="701" bestFit="1" customWidth="1"/>
    <col min="2823" max="2823" width="11.42578125" style="701" bestFit="1" customWidth="1"/>
    <col min="2824" max="2824" width="12.85546875" style="701" bestFit="1" customWidth="1"/>
    <col min="2825" max="2828" width="9.140625" style="701"/>
    <col min="2829" max="2829" width="13.5703125" style="701" bestFit="1" customWidth="1"/>
    <col min="2830" max="3072" width="9.140625" style="701"/>
    <col min="3073" max="3073" width="21.140625" style="701" customWidth="1"/>
    <col min="3074" max="3074" width="22.140625" style="701" customWidth="1"/>
    <col min="3075" max="3075" width="21.28515625" style="701" customWidth="1"/>
    <col min="3076" max="3076" width="21.85546875" style="701" customWidth="1"/>
    <col min="3077" max="3077" width="9.140625" style="701"/>
    <col min="3078" max="3078" width="17.140625" style="701" bestFit="1" customWidth="1"/>
    <col min="3079" max="3079" width="11.42578125" style="701" bestFit="1" customWidth="1"/>
    <col min="3080" max="3080" width="12.85546875" style="701" bestFit="1" customWidth="1"/>
    <col min="3081" max="3084" width="9.140625" style="701"/>
    <col min="3085" max="3085" width="13.5703125" style="701" bestFit="1" customWidth="1"/>
    <col min="3086" max="3328" width="9.140625" style="701"/>
    <col min="3329" max="3329" width="21.140625" style="701" customWidth="1"/>
    <col min="3330" max="3330" width="22.140625" style="701" customWidth="1"/>
    <col min="3331" max="3331" width="21.28515625" style="701" customWidth="1"/>
    <col min="3332" max="3332" width="21.85546875" style="701" customWidth="1"/>
    <col min="3333" max="3333" width="9.140625" style="701"/>
    <col min="3334" max="3334" width="17.140625" style="701" bestFit="1" customWidth="1"/>
    <col min="3335" max="3335" width="11.42578125" style="701" bestFit="1" customWidth="1"/>
    <col min="3336" max="3336" width="12.85546875" style="701" bestFit="1" customWidth="1"/>
    <col min="3337" max="3340" width="9.140625" style="701"/>
    <col min="3341" max="3341" width="13.5703125" style="701" bestFit="1" customWidth="1"/>
    <col min="3342" max="3584" width="9.140625" style="701"/>
    <col min="3585" max="3585" width="21.140625" style="701" customWidth="1"/>
    <col min="3586" max="3586" width="22.140625" style="701" customWidth="1"/>
    <col min="3587" max="3587" width="21.28515625" style="701" customWidth="1"/>
    <col min="3588" max="3588" width="21.85546875" style="701" customWidth="1"/>
    <col min="3589" max="3589" width="9.140625" style="701"/>
    <col min="3590" max="3590" width="17.140625" style="701" bestFit="1" customWidth="1"/>
    <col min="3591" max="3591" width="11.42578125" style="701" bestFit="1" customWidth="1"/>
    <col min="3592" max="3592" width="12.85546875" style="701" bestFit="1" customWidth="1"/>
    <col min="3593" max="3596" width="9.140625" style="701"/>
    <col min="3597" max="3597" width="13.5703125" style="701" bestFit="1" customWidth="1"/>
    <col min="3598" max="3840" width="9.140625" style="701"/>
    <col min="3841" max="3841" width="21.140625" style="701" customWidth="1"/>
    <col min="3842" max="3842" width="22.140625" style="701" customWidth="1"/>
    <col min="3843" max="3843" width="21.28515625" style="701" customWidth="1"/>
    <col min="3844" max="3844" width="21.85546875" style="701" customWidth="1"/>
    <col min="3845" max="3845" width="9.140625" style="701"/>
    <col min="3846" max="3846" width="17.140625" style="701" bestFit="1" customWidth="1"/>
    <col min="3847" max="3847" width="11.42578125" style="701" bestFit="1" customWidth="1"/>
    <col min="3848" max="3848" width="12.85546875" style="701" bestFit="1" customWidth="1"/>
    <col min="3849" max="3852" width="9.140625" style="701"/>
    <col min="3853" max="3853" width="13.5703125" style="701" bestFit="1" customWidth="1"/>
    <col min="3854" max="4096" width="9.140625" style="701"/>
    <col min="4097" max="4097" width="21.140625" style="701" customWidth="1"/>
    <col min="4098" max="4098" width="22.140625" style="701" customWidth="1"/>
    <col min="4099" max="4099" width="21.28515625" style="701" customWidth="1"/>
    <col min="4100" max="4100" width="21.85546875" style="701" customWidth="1"/>
    <col min="4101" max="4101" width="9.140625" style="701"/>
    <col min="4102" max="4102" width="17.140625" style="701" bestFit="1" customWidth="1"/>
    <col min="4103" max="4103" width="11.42578125" style="701" bestFit="1" customWidth="1"/>
    <col min="4104" max="4104" width="12.85546875" style="701" bestFit="1" customWidth="1"/>
    <col min="4105" max="4108" width="9.140625" style="701"/>
    <col min="4109" max="4109" width="13.5703125" style="701" bestFit="1" customWidth="1"/>
    <col min="4110" max="4352" width="9.140625" style="701"/>
    <col min="4353" max="4353" width="21.140625" style="701" customWidth="1"/>
    <col min="4354" max="4354" width="22.140625" style="701" customWidth="1"/>
    <col min="4355" max="4355" width="21.28515625" style="701" customWidth="1"/>
    <col min="4356" max="4356" width="21.85546875" style="701" customWidth="1"/>
    <col min="4357" max="4357" width="9.140625" style="701"/>
    <col min="4358" max="4358" width="17.140625" style="701" bestFit="1" customWidth="1"/>
    <col min="4359" max="4359" width="11.42578125" style="701" bestFit="1" customWidth="1"/>
    <col min="4360" max="4360" width="12.85546875" style="701" bestFit="1" customWidth="1"/>
    <col min="4361" max="4364" width="9.140625" style="701"/>
    <col min="4365" max="4365" width="13.5703125" style="701" bestFit="1" customWidth="1"/>
    <col min="4366" max="4608" width="9.140625" style="701"/>
    <col min="4609" max="4609" width="21.140625" style="701" customWidth="1"/>
    <col min="4610" max="4610" width="22.140625" style="701" customWidth="1"/>
    <col min="4611" max="4611" width="21.28515625" style="701" customWidth="1"/>
    <col min="4612" max="4612" width="21.85546875" style="701" customWidth="1"/>
    <col min="4613" max="4613" width="9.140625" style="701"/>
    <col min="4614" max="4614" width="17.140625" style="701" bestFit="1" customWidth="1"/>
    <col min="4615" max="4615" width="11.42578125" style="701" bestFit="1" customWidth="1"/>
    <col min="4616" max="4616" width="12.85546875" style="701" bestFit="1" customWidth="1"/>
    <col min="4617" max="4620" width="9.140625" style="701"/>
    <col min="4621" max="4621" width="13.5703125" style="701" bestFit="1" customWidth="1"/>
    <col min="4622" max="4864" width="9.140625" style="701"/>
    <col min="4865" max="4865" width="21.140625" style="701" customWidth="1"/>
    <col min="4866" max="4866" width="22.140625" style="701" customWidth="1"/>
    <col min="4867" max="4867" width="21.28515625" style="701" customWidth="1"/>
    <col min="4868" max="4868" width="21.85546875" style="701" customWidth="1"/>
    <col min="4869" max="4869" width="9.140625" style="701"/>
    <col min="4870" max="4870" width="17.140625" style="701" bestFit="1" customWidth="1"/>
    <col min="4871" max="4871" width="11.42578125" style="701" bestFit="1" customWidth="1"/>
    <col min="4872" max="4872" width="12.85546875" style="701" bestFit="1" customWidth="1"/>
    <col min="4873" max="4876" width="9.140625" style="701"/>
    <col min="4877" max="4877" width="13.5703125" style="701" bestFit="1" customWidth="1"/>
    <col min="4878" max="5120" width="9.140625" style="701"/>
    <col min="5121" max="5121" width="21.140625" style="701" customWidth="1"/>
    <col min="5122" max="5122" width="22.140625" style="701" customWidth="1"/>
    <col min="5123" max="5123" width="21.28515625" style="701" customWidth="1"/>
    <col min="5124" max="5124" width="21.85546875" style="701" customWidth="1"/>
    <col min="5125" max="5125" width="9.140625" style="701"/>
    <col min="5126" max="5126" width="17.140625" style="701" bestFit="1" customWidth="1"/>
    <col min="5127" max="5127" width="11.42578125" style="701" bestFit="1" customWidth="1"/>
    <col min="5128" max="5128" width="12.85546875" style="701" bestFit="1" customWidth="1"/>
    <col min="5129" max="5132" width="9.140625" style="701"/>
    <col min="5133" max="5133" width="13.5703125" style="701" bestFit="1" customWidth="1"/>
    <col min="5134" max="5376" width="9.140625" style="701"/>
    <col min="5377" max="5377" width="21.140625" style="701" customWidth="1"/>
    <col min="5378" max="5378" width="22.140625" style="701" customWidth="1"/>
    <col min="5379" max="5379" width="21.28515625" style="701" customWidth="1"/>
    <col min="5380" max="5380" width="21.85546875" style="701" customWidth="1"/>
    <col min="5381" max="5381" width="9.140625" style="701"/>
    <col min="5382" max="5382" width="17.140625" style="701" bestFit="1" customWidth="1"/>
    <col min="5383" max="5383" width="11.42578125" style="701" bestFit="1" customWidth="1"/>
    <col min="5384" max="5384" width="12.85546875" style="701" bestFit="1" customWidth="1"/>
    <col min="5385" max="5388" width="9.140625" style="701"/>
    <col min="5389" max="5389" width="13.5703125" style="701" bestFit="1" customWidth="1"/>
    <col min="5390" max="5632" width="9.140625" style="701"/>
    <col min="5633" max="5633" width="21.140625" style="701" customWidth="1"/>
    <col min="5634" max="5634" width="22.140625" style="701" customWidth="1"/>
    <col min="5635" max="5635" width="21.28515625" style="701" customWidth="1"/>
    <col min="5636" max="5636" width="21.85546875" style="701" customWidth="1"/>
    <col min="5637" max="5637" width="9.140625" style="701"/>
    <col min="5638" max="5638" width="17.140625" style="701" bestFit="1" customWidth="1"/>
    <col min="5639" max="5639" width="11.42578125" style="701" bestFit="1" customWidth="1"/>
    <col min="5640" max="5640" width="12.85546875" style="701" bestFit="1" customWidth="1"/>
    <col min="5641" max="5644" width="9.140625" style="701"/>
    <col min="5645" max="5645" width="13.5703125" style="701" bestFit="1" customWidth="1"/>
    <col min="5646" max="5888" width="9.140625" style="701"/>
    <col min="5889" max="5889" width="21.140625" style="701" customWidth="1"/>
    <col min="5890" max="5890" width="22.140625" style="701" customWidth="1"/>
    <col min="5891" max="5891" width="21.28515625" style="701" customWidth="1"/>
    <col min="5892" max="5892" width="21.85546875" style="701" customWidth="1"/>
    <col min="5893" max="5893" width="9.140625" style="701"/>
    <col min="5894" max="5894" width="17.140625" style="701" bestFit="1" customWidth="1"/>
    <col min="5895" max="5895" width="11.42578125" style="701" bestFit="1" customWidth="1"/>
    <col min="5896" max="5896" width="12.85546875" style="701" bestFit="1" customWidth="1"/>
    <col min="5897" max="5900" width="9.140625" style="701"/>
    <col min="5901" max="5901" width="13.5703125" style="701" bestFit="1" customWidth="1"/>
    <col min="5902" max="6144" width="9.140625" style="701"/>
    <col min="6145" max="6145" width="21.140625" style="701" customWidth="1"/>
    <col min="6146" max="6146" width="22.140625" style="701" customWidth="1"/>
    <col min="6147" max="6147" width="21.28515625" style="701" customWidth="1"/>
    <col min="6148" max="6148" width="21.85546875" style="701" customWidth="1"/>
    <col min="6149" max="6149" width="9.140625" style="701"/>
    <col min="6150" max="6150" width="17.140625" style="701" bestFit="1" customWidth="1"/>
    <col min="6151" max="6151" width="11.42578125" style="701" bestFit="1" customWidth="1"/>
    <col min="6152" max="6152" width="12.85546875" style="701" bestFit="1" customWidth="1"/>
    <col min="6153" max="6156" width="9.140625" style="701"/>
    <col min="6157" max="6157" width="13.5703125" style="701" bestFit="1" customWidth="1"/>
    <col min="6158" max="6400" width="9.140625" style="701"/>
    <col min="6401" max="6401" width="21.140625" style="701" customWidth="1"/>
    <col min="6402" max="6402" width="22.140625" style="701" customWidth="1"/>
    <col min="6403" max="6403" width="21.28515625" style="701" customWidth="1"/>
    <col min="6404" max="6404" width="21.85546875" style="701" customWidth="1"/>
    <col min="6405" max="6405" width="9.140625" style="701"/>
    <col min="6406" max="6406" width="17.140625" style="701" bestFit="1" customWidth="1"/>
    <col min="6407" max="6407" width="11.42578125" style="701" bestFit="1" customWidth="1"/>
    <col min="6408" max="6408" width="12.85546875" style="701" bestFit="1" customWidth="1"/>
    <col min="6409" max="6412" width="9.140625" style="701"/>
    <col min="6413" max="6413" width="13.5703125" style="701" bestFit="1" customWidth="1"/>
    <col min="6414" max="6656" width="9.140625" style="701"/>
    <col min="6657" max="6657" width="21.140625" style="701" customWidth="1"/>
    <col min="6658" max="6658" width="22.140625" style="701" customWidth="1"/>
    <col min="6659" max="6659" width="21.28515625" style="701" customWidth="1"/>
    <col min="6660" max="6660" width="21.85546875" style="701" customWidth="1"/>
    <col min="6661" max="6661" width="9.140625" style="701"/>
    <col min="6662" max="6662" width="17.140625" style="701" bestFit="1" customWidth="1"/>
    <col min="6663" max="6663" width="11.42578125" style="701" bestFit="1" customWidth="1"/>
    <col min="6664" max="6664" width="12.85546875" style="701" bestFit="1" customWidth="1"/>
    <col min="6665" max="6668" width="9.140625" style="701"/>
    <col min="6669" max="6669" width="13.5703125" style="701" bestFit="1" customWidth="1"/>
    <col min="6670" max="6912" width="9.140625" style="701"/>
    <col min="6913" max="6913" width="21.140625" style="701" customWidth="1"/>
    <col min="6914" max="6914" width="22.140625" style="701" customWidth="1"/>
    <col min="6915" max="6915" width="21.28515625" style="701" customWidth="1"/>
    <col min="6916" max="6916" width="21.85546875" style="701" customWidth="1"/>
    <col min="6917" max="6917" width="9.140625" style="701"/>
    <col min="6918" max="6918" width="17.140625" style="701" bestFit="1" customWidth="1"/>
    <col min="6919" max="6919" width="11.42578125" style="701" bestFit="1" customWidth="1"/>
    <col min="6920" max="6920" width="12.85546875" style="701" bestFit="1" customWidth="1"/>
    <col min="6921" max="6924" width="9.140625" style="701"/>
    <col min="6925" max="6925" width="13.5703125" style="701" bestFit="1" customWidth="1"/>
    <col min="6926" max="7168" width="9.140625" style="701"/>
    <col min="7169" max="7169" width="21.140625" style="701" customWidth="1"/>
    <col min="7170" max="7170" width="22.140625" style="701" customWidth="1"/>
    <col min="7171" max="7171" width="21.28515625" style="701" customWidth="1"/>
    <col min="7172" max="7172" width="21.85546875" style="701" customWidth="1"/>
    <col min="7173" max="7173" width="9.140625" style="701"/>
    <col min="7174" max="7174" width="17.140625" style="701" bestFit="1" customWidth="1"/>
    <col min="7175" max="7175" width="11.42578125" style="701" bestFit="1" customWidth="1"/>
    <col min="7176" max="7176" width="12.85546875" style="701" bestFit="1" customWidth="1"/>
    <col min="7177" max="7180" width="9.140625" style="701"/>
    <col min="7181" max="7181" width="13.5703125" style="701" bestFit="1" customWidth="1"/>
    <col min="7182" max="7424" width="9.140625" style="701"/>
    <col min="7425" max="7425" width="21.140625" style="701" customWidth="1"/>
    <col min="7426" max="7426" width="22.140625" style="701" customWidth="1"/>
    <col min="7427" max="7427" width="21.28515625" style="701" customWidth="1"/>
    <col min="7428" max="7428" width="21.85546875" style="701" customWidth="1"/>
    <col min="7429" max="7429" width="9.140625" style="701"/>
    <col min="7430" max="7430" width="17.140625" style="701" bestFit="1" customWidth="1"/>
    <col min="7431" max="7431" width="11.42578125" style="701" bestFit="1" customWidth="1"/>
    <col min="7432" max="7432" width="12.85546875" style="701" bestFit="1" customWidth="1"/>
    <col min="7433" max="7436" width="9.140625" style="701"/>
    <col min="7437" max="7437" width="13.5703125" style="701" bestFit="1" customWidth="1"/>
    <col min="7438" max="7680" width="9.140625" style="701"/>
    <col min="7681" max="7681" width="21.140625" style="701" customWidth="1"/>
    <col min="7682" max="7682" width="22.140625" style="701" customWidth="1"/>
    <col min="7683" max="7683" width="21.28515625" style="701" customWidth="1"/>
    <col min="7684" max="7684" width="21.85546875" style="701" customWidth="1"/>
    <col min="7685" max="7685" width="9.140625" style="701"/>
    <col min="7686" max="7686" width="17.140625" style="701" bestFit="1" customWidth="1"/>
    <col min="7687" max="7687" width="11.42578125" style="701" bestFit="1" customWidth="1"/>
    <col min="7688" max="7688" width="12.85546875" style="701" bestFit="1" customWidth="1"/>
    <col min="7689" max="7692" width="9.140625" style="701"/>
    <col min="7693" max="7693" width="13.5703125" style="701" bestFit="1" customWidth="1"/>
    <col min="7694" max="7936" width="9.140625" style="701"/>
    <col min="7937" max="7937" width="21.140625" style="701" customWidth="1"/>
    <col min="7938" max="7938" width="22.140625" style="701" customWidth="1"/>
    <col min="7939" max="7939" width="21.28515625" style="701" customWidth="1"/>
    <col min="7940" max="7940" width="21.85546875" style="701" customWidth="1"/>
    <col min="7941" max="7941" width="9.140625" style="701"/>
    <col min="7942" max="7942" width="17.140625" style="701" bestFit="1" customWidth="1"/>
    <col min="7943" max="7943" width="11.42578125" style="701" bestFit="1" customWidth="1"/>
    <col min="7944" max="7944" width="12.85546875" style="701" bestFit="1" customWidth="1"/>
    <col min="7945" max="7948" width="9.140625" style="701"/>
    <col min="7949" max="7949" width="13.5703125" style="701" bestFit="1" customWidth="1"/>
    <col min="7950" max="8192" width="9.140625" style="701"/>
    <col min="8193" max="8193" width="21.140625" style="701" customWidth="1"/>
    <col min="8194" max="8194" width="22.140625" style="701" customWidth="1"/>
    <col min="8195" max="8195" width="21.28515625" style="701" customWidth="1"/>
    <col min="8196" max="8196" width="21.85546875" style="701" customWidth="1"/>
    <col min="8197" max="8197" width="9.140625" style="701"/>
    <col min="8198" max="8198" width="17.140625" style="701" bestFit="1" customWidth="1"/>
    <col min="8199" max="8199" width="11.42578125" style="701" bestFit="1" customWidth="1"/>
    <col min="8200" max="8200" width="12.85546875" style="701" bestFit="1" customWidth="1"/>
    <col min="8201" max="8204" width="9.140625" style="701"/>
    <col min="8205" max="8205" width="13.5703125" style="701" bestFit="1" customWidth="1"/>
    <col min="8206" max="8448" width="9.140625" style="701"/>
    <col min="8449" max="8449" width="21.140625" style="701" customWidth="1"/>
    <col min="8450" max="8450" width="22.140625" style="701" customWidth="1"/>
    <col min="8451" max="8451" width="21.28515625" style="701" customWidth="1"/>
    <col min="8452" max="8452" width="21.85546875" style="701" customWidth="1"/>
    <col min="8453" max="8453" width="9.140625" style="701"/>
    <col min="8454" max="8454" width="17.140625" style="701" bestFit="1" customWidth="1"/>
    <col min="8455" max="8455" width="11.42578125" style="701" bestFit="1" customWidth="1"/>
    <col min="8456" max="8456" width="12.85546875" style="701" bestFit="1" customWidth="1"/>
    <col min="8457" max="8460" width="9.140625" style="701"/>
    <col min="8461" max="8461" width="13.5703125" style="701" bestFit="1" customWidth="1"/>
    <col min="8462" max="8704" width="9.140625" style="701"/>
    <col min="8705" max="8705" width="21.140625" style="701" customWidth="1"/>
    <col min="8706" max="8706" width="22.140625" style="701" customWidth="1"/>
    <col min="8707" max="8707" width="21.28515625" style="701" customWidth="1"/>
    <col min="8708" max="8708" width="21.85546875" style="701" customWidth="1"/>
    <col min="8709" max="8709" width="9.140625" style="701"/>
    <col min="8710" max="8710" width="17.140625" style="701" bestFit="1" customWidth="1"/>
    <col min="8711" max="8711" width="11.42578125" style="701" bestFit="1" customWidth="1"/>
    <col min="8712" max="8712" width="12.85546875" style="701" bestFit="1" customWidth="1"/>
    <col min="8713" max="8716" width="9.140625" style="701"/>
    <col min="8717" max="8717" width="13.5703125" style="701" bestFit="1" customWidth="1"/>
    <col min="8718" max="8960" width="9.140625" style="701"/>
    <col min="8961" max="8961" width="21.140625" style="701" customWidth="1"/>
    <col min="8962" max="8962" width="22.140625" style="701" customWidth="1"/>
    <col min="8963" max="8963" width="21.28515625" style="701" customWidth="1"/>
    <col min="8964" max="8964" width="21.85546875" style="701" customWidth="1"/>
    <col min="8965" max="8965" width="9.140625" style="701"/>
    <col min="8966" max="8966" width="17.140625" style="701" bestFit="1" customWidth="1"/>
    <col min="8967" max="8967" width="11.42578125" style="701" bestFit="1" customWidth="1"/>
    <col min="8968" max="8968" width="12.85546875" style="701" bestFit="1" customWidth="1"/>
    <col min="8969" max="8972" width="9.140625" style="701"/>
    <col min="8973" max="8973" width="13.5703125" style="701" bestFit="1" customWidth="1"/>
    <col min="8974" max="9216" width="9.140625" style="701"/>
    <col min="9217" max="9217" width="21.140625" style="701" customWidth="1"/>
    <col min="9218" max="9218" width="22.140625" style="701" customWidth="1"/>
    <col min="9219" max="9219" width="21.28515625" style="701" customWidth="1"/>
    <col min="9220" max="9220" width="21.85546875" style="701" customWidth="1"/>
    <col min="9221" max="9221" width="9.140625" style="701"/>
    <col min="9222" max="9222" width="17.140625" style="701" bestFit="1" customWidth="1"/>
    <col min="9223" max="9223" width="11.42578125" style="701" bestFit="1" customWidth="1"/>
    <col min="9224" max="9224" width="12.85546875" style="701" bestFit="1" customWidth="1"/>
    <col min="9225" max="9228" width="9.140625" style="701"/>
    <col min="9229" max="9229" width="13.5703125" style="701" bestFit="1" customWidth="1"/>
    <col min="9230" max="9472" width="9.140625" style="701"/>
    <col min="9473" max="9473" width="21.140625" style="701" customWidth="1"/>
    <col min="9474" max="9474" width="22.140625" style="701" customWidth="1"/>
    <col min="9475" max="9475" width="21.28515625" style="701" customWidth="1"/>
    <col min="9476" max="9476" width="21.85546875" style="701" customWidth="1"/>
    <col min="9477" max="9477" width="9.140625" style="701"/>
    <col min="9478" max="9478" width="17.140625" style="701" bestFit="1" customWidth="1"/>
    <col min="9479" max="9479" width="11.42578125" style="701" bestFit="1" customWidth="1"/>
    <col min="9480" max="9480" width="12.85546875" style="701" bestFit="1" customWidth="1"/>
    <col min="9481" max="9484" width="9.140625" style="701"/>
    <col min="9485" max="9485" width="13.5703125" style="701" bestFit="1" customWidth="1"/>
    <col min="9486" max="9728" width="9.140625" style="701"/>
    <col min="9729" max="9729" width="21.140625" style="701" customWidth="1"/>
    <col min="9730" max="9730" width="22.140625" style="701" customWidth="1"/>
    <col min="9731" max="9731" width="21.28515625" style="701" customWidth="1"/>
    <col min="9732" max="9732" width="21.85546875" style="701" customWidth="1"/>
    <col min="9733" max="9733" width="9.140625" style="701"/>
    <col min="9734" max="9734" width="17.140625" style="701" bestFit="1" customWidth="1"/>
    <col min="9735" max="9735" width="11.42578125" style="701" bestFit="1" customWidth="1"/>
    <col min="9736" max="9736" width="12.85546875" style="701" bestFit="1" customWidth="1"/>
    <col min="9737" max="9740" width="9.140625" style="701"/>
    <col min="9741" max="9741" width="13.5703125" style="701" bestFit="1" customWidth="1"/>
    <col min="9742" max="9984" width="9.140625" style="701"/>
    <col min="9985" max="9985" width="21.140625" style="701" customWidth="1"/>
    <col min="9986" max="9986" width="22.140625" style="701" customWidth="1"/>
    <col min="9987" max="9987" width="21.28515625" style="701" customWidth="1"/>
    <col min="9988" max="9988" width="21.85546875" style="701" customWidth="1"/>
    <col min="9989" max="9989" width="9.140625" style="701"/>
    <col min="9990" max="9990" width="17.140625" style="701" bestFit="1" customWidth="1"/>
    <col min="9991" max="9991" width="11.42578125" style="701" bestFit="1" customWidth="1"/>
    <col min="9992" max="9992" width="12.85546875" style="701" bestFit="1" customWidth="1"/>
    <col min="9993" max="9996" width="9.140625" style="701"/>
    <col min="9997" max="9997" width="13.5703125" style="701" bestFit="1" customWidth="1"/>
    <col min="9998" max="10240" width="9.140625" style="701"/>
    <col min="10241" max="10241" width="21.140625" style="701" customWidth="1"/>
    <col min="10242" max="10242" width="22.140625" style="701" customWidth="1"/>
    <col min="10243" max="10243" width="21.28515625" style="701" customWidth="1"/>
    <col min="10244" max="10244" width="21.85546875" style="701" customWidth="1"/>
    <col min="10245" max="10245" width="9.140625" style="701"/>
    <col min="10246" max="10246" width="17.140625" style="701" bestFit="1" customWidth="1"/>
    <col min="10247" max="10247" width="11.42578125" style="701" bestFit="1" customWidth="1"/>
    <col min="10248" max="10248" width="12.85546875" style="701" bestFit="1" customWidth="1"/>
    <col min="10249" max="10252" width="9.140625" style="701"/>
    <col min="10253" max="10253" width="13.5703125" style="701" bestFit="1" customWidth="1"/>
    <col min="10254" max="10496" width="9.140625" style="701"/>
    <col min="10497" max="10497" width="21.140625" style="701" customWidth="1"/>
    <col min="10498" max="10498" width="22.140625" style="701" customWidth="1"/>
    <col min="10499" max="10499" width="21.28515625" style="701" customWidth="1"/>
    <col min="10500" max="10500" width="21.85546875" style="701" customWidth="1"/>
    <col min="10501" max="10501" width="9.140625" style="701"/>
    <col min="10502" max="10502" width="17.140625" style="701" bestFit="1" customWidth="1"/>
    <col min="10503" max="10503" width="11.42578125" style="701" bestFit="1" customWidth="1"/>
    <col min="10504" max="10504" width="12.85546875" style="701" bestFit="1" customWidth="1"/>
    <col min="10505" max="10508" width="9.140625" style="701"/>
    <col min="10509" max="10509" width="13.5703125" style="701" bestFit="1" customWidth="1"/>
    <col min="10510" max="10752" width="9.140625" style="701"/>
    <col min="10753" max="10753" width="21.140625" style="701" customWidth="1"/>
    <col min="10754" max="10754" width="22.140625" style="701" customWidth="1"/>
    <col min="10755" max="10755" width="21.28515625" style="701" customWidth="1"/>
    <col min="10756" max="10756" width="21.85546875" style="701" customWidth="1"/>
    <col min="10757" max="10757" width="9.140625" style="701"/>
    <col min="10758" max="10758" width="17.140625" style="701" bestFit="1" customWidth="1"/>
    <col min="10759" max="10759" width="11.42578125" style="701" bestFit="1" customWidth="1"/>
    <col min="10760" max="10760" width="12.85546875" style="701" bestFit="1" customWidth="1"/>
    <col min="10761" max="10764" width="9.140625" style="701"/>
    <col min="10765" max="10765" width="13.5703125" style="701" bestFit="1" customWidth="1"/>
    <col min="10766" max="11008" width="9.140625" style="701"/>
    <col min="11009" max="11009" width="21.140625" style="701" customWidth="1"/>
    <col min="11010" max="11010" width="22.140625" style="701" customWidth="1"/>
    <col min="11011" max="11011" width="21.28515625" style="701" customWidth="1"/>
    <col min="11012" max="11012" width="21.85546875" style="701" customWidth="1"/>
    <col min="11013" max="11013" width="9.140625" style="701"/>
    <col min="11014" max="11014" width="17.140625" style="701" bestFit="1" customWidth="1"/>
    <col min="11015" max="11015" width="11.42578125" style="701" bestFit="1" customWidth="1"/>
    <col min="11016" max="11016" width="12.85546875" style="701" bestFit="1" customWidth="1"/>
    <col min="11017" max="11020" width="9.140625" style="701"/>
    <col min="11021" max="11021" width="13.5703125" style="701" bestFit="1" customWidth="1"/>
    <col min="11022" max="11264" width="9.140625" style="701"/>
    <col min="11265" max="11265" width="21.140625" style="701" customWidth="1"/>
    <col min="11266" max="11266" width="22.140625" style="701" customWidth="1"/>
    <col min="11267" max="11267" width="21.28515625" style="701" customWidth="1"/>
    <col min="11268" max="11268" width="21.85546875" style="701" customWidth="1"/>
    <col min="11269" max="11269" width="9.140625" style="701"/>
    <col min="11270" max="11270" width="17.140625" style="701" bestFit="1" customWidth="1"/>
    <col min="11271" max="11271" width="11.42578125" style="701" bestFit="1" customWidth="1"/>
    <col min="11272" max="11272" width="12.85546875" style="701" bestFit="1" customWidth="1"/>
    <col min="11273" max="11276" width="9.140625" style="701"/>
    <col min="11277" max="11277" width="13.5703125" style="701" bestFit="1" customWidth="1"/>
    <col min="11278" max="11520" width="9.140625" style="701"/>
    <col min="11521" max="11521" width="21.140625" style="701" customWidth="1"/>
    <col min="11522" max="11522" width="22.140625" style="701" customWidth="1"/>
    <col min="11523" max="11523" width="21.28515625" style="701" customWidth="1"/>
    <col min="11524" max="11524" width="21.85546875" style="701" customWidth="1"/>
    <col min="11525" max="11525" width="9.140625" style="701"/>
    <col min="11526" max="11526" width="17.140625" style="701" bestFit="1" customWidth="1"/>
    <col min="11527" max="11527" width="11.42578125" style="701" bestFit="1" customWidth="1"/>
    <col min="11528" max="11528" width="12.85546875" style="701" bestFit="1" customWidth="1"/>
    <col min="11529" max="11532" width="9.140625" style="701"/>
    <col min="11533" max="11533" width="13.5703125" style="701" bestFit="1" customWidth="1"/>
    <col min="11534" max="11776" width="9.140625" style="701"/>
    <col min="11777" max="11777" width="21.140625" style="701" customWidth="1"/>
    <col min="11778" max="11778" width="22.140625" style="701" customWidth="1"/>
    <col min="11779" max="11779" width="21.28515625" style="701" customWidth="1"/>
    <col min="11780" max="11780" width="21.85546875" style="701" customWidth="1"/>
    <col min="11781" max="11781" width="9.140625" style="701"/>
    <col min="11782" max="11782" width="17.140625" style="701" bestFit="1" customWidth="1"/>
    <col min="11783" max="11783" width="11.42578125" style="701" bestFit="1" customWidth="1"/>
    <col min="11784" max="11784" width="12.85546875" style="701" bestFit="1" customWidth="1"/>
    <col min="11785" max="11788" width="9.140625" style="701"/>
    <col min="11789" max="11789" width="13.5703125" style="701" bestFit="1" customWidth="1"/>
    <col min="11790" max="12032" width="9.140625" style="701"/>
    <col min="12033" max="12033" width="21.140625" style="701" customWidth="1"/>
    <col min="12034" max="12034" width="22.140625" style="701" customWidth="1"/>
    <col min="12035" max="12035" width="21.28515625" style="701" customWidth="1"/>
    <col min="12036" max="12036" width="21.85546875" style="701" customWidth="1"/>
    <col min="12037" max="12037" width="9.140625" style="701"/>
    <col min="12038" max="12038" width="17.140625" style="701" bestFit="1" customWidth="1"/>
    <col min="12039" max="12039" width="11.42578125" style="701" bestFit="1" customWidth="1"/>
    <col min="12040" max="12040" width="12.85546875" style="701" bestFit="1" customWidth="1"/>
    <col min="12041" max="12044" width="9.140625" style="701"/>
    <col min="12045" max="12045" width="13.5703125" style="701" bestFit="1" customWidth="1"/>
    <col min="12046" max="12288" width="9.140625" style="701"/>
    <col min="12289" max="12289" width="21.140625" style="701" customWidth="1"/>
    <col min="12290" max="12290" width="22.140625" style="701" customWidth="1"/>
    <col min="12291" max="12291" width="21.28515625" style="701" customWidth="1"/>
    <col min="12292" max="12292" width="21.85546875" style="701" customWidth="1"/>
    <col min="12293" max="12293" width="9.140625" style="701"/>
    <col min="12294" max="12294" width="17.140625" style="701" bestFit="1" customWidth="1"/>
    <col min="12295" max="12295" width="11.42578125" style="701" bestFit="1" customWidth="1"/>
    <col min="12296" max="12296" width="12.85546875" style="701" bestFit="1" customWidth="1"/>
    <col min="12297" max="12300" width="9.140625" style="701"/>
    <col min="12301" max="12301" width="13.5703125" style="701" bestFit="1" customWidth="1"/>
    <col min="12302" max="12544" width="9.140625" style="701"/>
    <col min="12545" max="12545" width="21.140625" style="701" customWidth="1"/>
    <col min="12546" max="12546" width="22.140625" style="701" customWidth="1"/>
    <col min="12547" max="12547" width="21.28515625" style="701" customWidth="1"/>
    <col min="12548" max="12548" width="21.85546875" style="701" customWidth="1"/>
    <col min="12549" max="12549" width="9.140625" style="701"/>
    <col min="12550" max="12550" width="17.140625" style="701" bestFit="1" customWidth="1"/>
    <col min="12551" max="12551" width="11.42578125" style="701" bestFit="1" customWidth="1"/>
    <col min="12552" max="12552" width="12.85546875" style="701" bestFit="1" customWidth="1"/>
    <col min="12553" max="12556" width="9.140625" style="701"/>
    <col min="12557" max="12557" width="13.5703125" style="701" bestFit="1" customWidth="1"/>
    <col min="12558" max="12800" width="9.140625" style="701"/>
    <col min="12801" max="12801" width="21.140625" style="701" customWidth="1"/>
    <col min="12802" max="12802" width="22.140625" style="701" customWidth="1"/>
    <col min="12803" max="12803" width="21.28515625" style="701" customWidth="1"/>
    <col min="12804" max="12804" width="21.85546875" style="701" customWidth="1"/>
    <col min="12805" max="12805" width="9.140625" style="701"/>
    <col min="12806" max="12806" width="17.140625" style="701" bestFit="1" customWidth="1"/>
    <col min="12807" max="12807" width="11.42578125" style="701" bestFit="1" customWidth="1"/>
    <col min="12808" max="12808" width="12.85546875" style="701" bestFit="1" customWidth="1"/>
    <col min="12809" max="12812" width="9.140625" style="701"/>
    <col min="12813" max="12813" width="13.5703125" style="701" bestFit="1" customWidth="1"/>
    <col min="12814" max="13056" width="9.140625" style="701"/>
    <col min="13057" max="13057" width="21.140625" style="701" customWidth="1"/>
    <col min="13058" max="13058" width="22.140625" style="701" customWidth="1"/>
    <col min="13059" max="13059" width="21.28515625" style="701" customWidth="1"/>
    <col min="13060" max="13060" width="21.85546875" style="701" customWidth="1"/>
    <col min="13061" max="13061" width="9.140625" style="701"/>
    <col min="13062" max="13062" width="17.140625" style="701" bestFit="1" customWidth="1"/>
    <col min="13063" max="13063" width="11.42578125" style="701" bestFit="1" customWidth="1"/>
    <col min="13064" max="13064" width="12.85546875" style="701" bestFit="1" customWidth="1"/>
    <col min="13065" max="13068" width="9.140625" style="701"/>
    <col min="13069" max="13069" width="13.5703125" style="701" bestFit="1" customWidth="1"/>
    <col min="13070" max="13312" width="9.140625" style="701"/>
    <col min="13313" max="13313" width="21.140625" style="701" customWidth="1"/>
    <col min="13314" max="13314" width="22.140625" style="701" customWidth="1"/>
    <col min="13315" max="13315" width="21.28515625" style="701" customWidth="1"/>
    <col min="13316" max="13316" width="21.85546875" style="701" customWidth="1"/>
    <col min="13317" max="13317" width="9.140625" style="701"/>
    <col min="13318" max="13318" width="17.140625" style="701" bestFit="1" customWidth="1"/>
    <col min="13319" max="13319" width="11.42578125" style="701" bestFit="1" customWidth="1"/>
    <col min="13320" max="13320" width="12.85546875" style="701" bestFit="1" customWidth="1"/>
    <col min="13321" max="13324" width="9.140625" style="701"/>
    <col min="13325" max="13325" width="13.5703125" style="701" bestFit="1" customWidth="1"/>
    <col min="13326" max="13568" width="9.140625" style="701"/>
    <col min="13569" max="13569" width="21.140625" style="701" customWidth="1"/>
    <col min="13570" max="13570" width="22.140625" style="701" customWidth="1"/>
    <col min="13571" max="13571" width="21.28515625" style="701" customWidth="1"/>
    <col min="13572" max="13572" width="21.85546875" style="701" customWidth="1"/>
    <col min="13573" max="13573" width="9.140625" style="701"/>
    <col min="13574" max="13574" width="17.140625" style="701" bestFit="1" customWidth="1"/>
    <col min="13575" max="13575" width="11.42578125" style="701" bestFit="1" customWidth="1"/>
    <col min="13576" max="13576" width="12.85546875" style="701" bestFit="1" customWidth="1"/>
    <col min="13577" max="13580" width="9.140625" style="701"/>
    <col min="13581" max="13581" width="13.5703125" style="701" bestFit="1" customWidth="1"/>
    <col min="13582" max="13824" width="9.140625" style="701"/>
    <col min="13825" max="13825" width="21.140625" style="701" customWidth="1"/>
    <col min="13826" max="13826" width="22.140625" style="701" customWidth="1"/>
    <col min="13827" max="13827" width="21.28515625" style="701" customWidth="1"/>
    <col min="13828" max="13828" width="21.85546875" style="701" customWidth="1"/>
    <col min="13829" max="13829" width="9.140625" style="701"/>
    <col min="13830" max="13830" width="17.140625" style="701" bestFit="1" customWidth="1"/>
    <col min="13831" max="13831" width="11.42578125" style="701" bestFit="1" customWidth="1"/>
    <col min="13832" max="13832" width="12.85546875" style="701" bestFit="1" customWidth="1"/>
    <col min="13833" max="13836" width="9.140625" style="701"/>
    <col min="13837" max="13837" width="13.5703125" style="701" bestFit="1" customWidth="1"/>
    <col min="13838" max="14080" width="9.140625" style="701"/>
    <col min="14081" max="14081" width="21.140625" style="701" customWidth="1"/>
    <col min="14082" max="14082" width="22.140625" style="701" customWidth="1"/>
    <col min="14083" max="14083" width="21.28515625" style="701" customWidth="1"/>
    <col min="14084" max="14084" width="21.85546875" style="701" customWidth="1"/>
    <col min="14085" max="14085" width="9.140625" style="701"/>
    <col min="14086" max="14086" width="17.140625" style="701" bestFit="1" customWidth="1"/>
    <col min="14087" max="14087" width="11.42578125" style="701" bestFit="1" customWidth="1"/>
    <col min="14088" max="14088" width="12.85546875" style="701" bestFit="1" customWidth="1"/>
    <col min="14089" max="14092" width="9.140625" style="701"/>
    <col min="14093" max="14093" width="13.5703125" style="701" bestFit="1" customWidth="1"/>
    <col min="14094" max="14336" width="9.140625" style="701"/>
    <col min="14337" max="14337" width="21.140625" style="701" customWidth="1"/>
    <col min="14338" max="14338" width="22.140625" style="701" customWidth="1"/>
    <col min="14339" max="14339" width="21.28515625" style="701" customWidth="1"/>
    <col min="14340" max="14340" width="21.85546875" style="701" customWidth="1"/>
    <col min="14341" max="14341" width="9.140625" style="701"/>
    <col min="14342" max="14342" width="17.140625" style="701" bestFit="1" customWidth="1"/>
    <col min="14343" max="14343" width="11.42578125" style="701" bestFit="1" customWidth="1"/>
    <col min="14344" max="14344" width="12.85546875" style="701" bestFit="1" customWidth="1"/>
    <col min="14345" max="14348" width="9.140625" style="701"/>
    <col min="14349" max="14349" width="13.5703125" style="701" bestFit="1" customWidth="1"/>
    <col min="14350" max="14592" width="9.140625" style="701"/>
    <col min="14593" max="14593" width="21.140625" style="701" customWidth="1"/>
    <col min="14594" max="14594" width="22.140625" style="701" customWidth="1"/>
    <col min="14595" max="14595" width="21.28515625" style="701" customWidth="1"/>
    <col min="14596" max="14596" width="21.85546875" style="701" customWidth="1"/>
    <col min="14597" max="14597" width="9.140625" style="701"/>
    <col min="14598" max="14598" width="17.140625" style="701" bestFit="1" customWidth="1"/>
    <col min="14599" max="14599" width="11.42578125" style="701" bestFit="1" customWidth="1"/>
    <col min="14600" max="14600" width="12.85546875" style="701" bestFit="1" customWidth="1"/>
    <col min="14601" max="14604" width="9.140625" style="701"/>
    <col min="14605" max="14605" width="13.5703125" style="701" bestFit="1" customWidth="1"/>
    <col min="14606" max="14848" width="9.140625" style="701"/>
    <col min="14849" max="14849" width="21.140625" style="701" customWidth="1"/>
    <col min="14850" max="14850" width="22.140625" style="701" customWidth="1"/>
    <col min="14851" max="14851" width="21.28515625" style="701" customWidth="1"/>
    <col min="14852" max="14852" width="21.85546875" style="701" customWidth="1"/>
    <col min="14853" max="14853" width="9.140625" style="701"/>
    <col min="14854" max="14854" width="17.140625" style="701" bestFit="1" customWidth="1"/>
    <col min="14855" max="14855" width="11.42578125" style="701" bestFit="1" customWidth="1"/>
    <col min="14856" max="14856" width="12.85546875" style="701" bestFit="1" customWidth="1"/>
    <col min="14857" max="14860" width="9.140625" style="701"/>
    <col min="14861" max="14861" width="13.5703125" style="701" bestFit="1" customWidth="1"/>
    <col min="14862" max="15104" width="9.140625" style="701"/>
    <col min="15105" max="15105" width="21.140625" style="701" customWidth="1"/>
    <col min="15106" max="15106" width="22.140625" style="701" customWidth="1"/>
    <col min="15107" max="15107" width="21.28515625" style="701" customWidth="1"/>
    <col min="15108" max="15108" width="21.85546875" style="701" customWidth="1"/>
    <col min="15109" max="15109" width="9.140625" style="701"/>
    <col min="15110" max="15110" width="17.140625" style="701" bestFit="1" customWidth="1"/>
    <col min="15111" max="15111" width="11.42578125" style="701" bestFit="1" customWidth="1"/>
    <col min="15112" max="15112" width="12.85546875" style="701" bestFit="1" customWidth="1"/>
    <col min="15113" max="15116" width="9.140625" style="701"/>
    <col min="15117" max="15117" width="13.5703125" style="701" bestFit="1" customWidth="1"/>
    <col min="15118" max="15360" width="9.140625" style="701"/>
    <col min="15361" max="15361" width="21.140625" style="701" customWidth="1"/>
    <col min="15362" max="15362" width="22.140625" style="701" customWidth="1"/>
    <col min="15363" max="15363" width="21.28515625" style="701" customWidth="1"/>
    <col min="15364" max="15364" width="21.85546875" style="701" customWidth="1"/>
    <col min="15365" max="15365" width="9.140625" style="701"/>
    <col min="15366" max="15366" width="17.140625" style="701" bestFit="1" customWidth="1"/>
    <col min="15367" max="15367" width="11.42578125" style="701" bestFit="1" customWidth="1"/>
    <col min="15368" max="15368" width="12.85546875" style="701" bestFit="1" customWidth="1"/>
    <col min="15369" max="15372" width="9.140625" style="701"/>
    <col min="15373" max="15373" width="13.5703125" style="701" bestFit="1" customWidth="1"/>
    <col min="15374" max="15616" width="9.140625" style="701"/>
    <col min="15617" max="15617" width="21.140625" style="701" customWidth="1"/>
    <col min="15618" max="15618" width="22.140625" style="701" customWidth="1"/>
    <col min="15619" max="15619" width="21.28515625" style="701" customWidth="1"/>
    <col min="15620" max="15620" width="21.85546875" style="701" customWidth="1"/>
    <col min="15621" max="15621" width="9.140625" style="701"/>
    <col min="15622" max="15622" width="17.140625" style="701" bestFit="1" customWidth="1"/>
    <col min="15623" max="15623" width="11.42578125" style="701" bestFit="1" customWidth="1"/>
    <col min="15624" max="15624" width="12.85546875" style="701" bestFit="1" customWidth="1"/>
    <col min="15625" max="15628" width="9.140625" style="701"/>
    <col min="15629" max="15629" width="13.5703125" style="701" bestFit="1" customWidth="1"/>
    <col min="15630" max="15872" width="9.140625" style="701"/>
    <col min="15873" max="15873" width="21.140625" style="701" customWidth="1"/>
    <col min="15874" max="15874" width="22.140625" style="701" customWidth="1"/>
    <col min="15875" max="15875" width="21.28515625" style="701" customWidth="1"/>
    <col min="15876" max="15876" width="21.85546875" style="701" customWidth="1"/>
    <col min="15877" max="15877" width="9.140625" style="701"/>
    <col min="15878" max="15878" width="17.140625" style="701" bestFit="1" customWidth="1"/>
    <col min="15879" max="15879" width="11.42578125" style="701" bestFit="1" customWidth="1"/>
    <col min="15880" max="15880" width="12.85546875" style="701" bestFit="1" customWidth="1"/>
    <col min="15881" max="15884" width="9.140625" style="701"/>
    <col min="15885" max="15885" width="13.5703125" style="701" bestFit="1" customWidth="1"/>
    <col min="15886" max="16128" width="9.140625" style="701"/>
    <col min="16129" max="16129" width="21.140625" style="701" customWidth="1"/>
    <col min="16130" max="16130" width="22.140625" style="701" customWidth="1"/>
    <col min="16131" max="16131" width="21.28515625" style="701" customWidth="1"/>
    <col min="16132" max="16132" width="21.85546875" style="701" customWidth="1"/>
    <col min="16133" max="16133" width="9.140625" style="701"/>
    <col min="16134" max="16134" width="17.140625" style="701" bestFit="1" customWidth="1"/>
    <col min="16135" max="16135" width="11.42578125" style="701" bestFit="1" customWidth="1"/>
    <col min="16136" max="16136" width="12.85546875" style="701" bestFit="1" customWidth="1"/>
    <col min="16137" max="16140" width="9.140625" style="701"/>
    <col min="16141" max="16141" width="13.5703125" style="701" bestFit="1" customWidth="1"/>
    <col min="16142" max="16384" width="9.140625" style="701"/>
  </cols>
  <sheetData>
    <row r="1" spans="1:7" ht="27" customHeight="1" thickBot="1" x14ac:dyDescent="0.25">
      <c r="A1" s="699" t="s">
        <v>893</v>
      </c>
      <c r="B1" s="700"/>
      <c r="C1" s="700"/>
      <c r="D1" s="700"/>
    </row>
    <row r="2" spans="1:7" ht="27" customHeight="1" thickBot="1" x14ac:dyDescent="0.25">
      <c r="A2" s="702" t="s">
        <v>830</v>
      </c>
      <c r="B2" s="703" t="s">
        <v>894</v>
      </c>
      <c r="C2" s="704" t="s">
        <v>895</v>
      </c>
      <c r="D2" s="705" t="s">
        <v>896</v>
      </c>
    </row>
    <row r="3" spans="1:7" ht="15" customHeight="1" x14ac:dyDescent="0.2">
      <c r="A3" s="706" t="s">
        <v>851</v>
      </c>
      <c r="B3" s="707">
        <v>-18937046.899999999</v>
      </c>
      <c r="C3" s="708">
        <v>-20848970.330000002</v>
      </c>
      <c r="D3" s="709">
        <f t="shared" ref="D3:D38" si="0">B3-C3</f>
        <v>1911923.4300000034</v>
      </c>
      <c r="E3" s="710"/>
      <c r="F3" s="711"/>
    </row>
    <row r="4" spans="1:7" ht="15" customHeight="1" x14ac:dyDescent="0.2">
      <c r="A4" s="712" t="s">
        <v>868</v>
      </c>
      <c r="B4" s="713">
        <v>-4823337.7</v>
      </c>
      <c r="C4" s="714">
        <v>-4364499.55</v>
      </c>
      <c r="D4" s="709">
        <f t="shared" si="0"/>
        <v>-458838.15000000037</v>
      </c>
      <c r="E4" s="710"/>
      <c r="F4" s="711"/>
    </row>
    <row r="5" spans="1:7" ht="15" customHeight="1" x14ac:dyDescent="0.2">
      <c r="A5" s="712" t="s">
        <v>836</v>
      </c>
      <c r="B5" s="713">
        <v>-88939378.360000014</v>
      </c>
      <c r="C5" s="714">
        <v>-92819785.739999995</v>
      </c>
      <c r="D5" s="709">
        <f t="shared" si="0"/>
        <v>3880407.3799999803</v>
      </c>
      <c r="E5" s="710"/>
      <c r="F5" s="711"/>
    </row>
    <row r="6" spans="1:7" ht="15" customHeight="1" x14ac:dyDescent="0.2">
      <c r="A6" s="712" t="s">
        <v>858</v>
      </c>
      <c r="B6" s="713">
        <v>-4676159.67</v>
      </c>
      <c r="C6" s="714">
        <v>-4916618.9799999995</v>
      </c>
      <c r="D6" s="709">
        <f t="shared" si="0"/>
        <v>240459.30999999959</v>
      </c>
      <c r="E6" s="710"/>
      <c r="F6" s="711"/>
    </row>
    <row r="7" spans="1:7" ht="15" customHeight="1" x14ac:dyDescent="0.2">
      <c r="A7" s="712" t="s">
        <v>864</v>
      </c>
      <c r="B7" s="713">
        <v>-7610035.4100000001</v>
      </c>
      <c r="C7" s="714">
        <v>-7984884.8800000008</v>
      </c>
      <c r="D7" s="709">
        <f t="shared" si="0"/>
        <v>374849.47000000067</v>
      </c>
      <c r="E7" s="710"/>
      <c r="F7" s="711"/>
    </row>
    <row r="8" spans="1:7" ht="15" customHeight="1" x14ac:dyDescent="0.2">
      <c r="A8" s="712" t="s">
        <v>842</v>
      </c>
      <c r="B8" s="713">
        <v>-8941356.25</v>
      </c>
      <c r="C8" s="714">
        <v>-10362359.280000001</v>
      </c>
      <c r="D8" s="709">
        <f t="shared" si="0"/>
        <v>1421003.0300000012</v>
      </c>
      <c r="E8" s="710"/>
      <c r="F8" s="711"/>
    </row>
    <row r="9" spans="1:7" ht="15" customHeight="1" x14ac:dyDescent="0.2">
      <c r="A9" s="712" t="s">
        <v>843</v>
      </c>
      <c r="B9" s="713">
        <v>-9318328.9100000001</v>
      </c>
      <c r="C9" s="714">
        <v>-10108660.91</v>
      </c>
      <c r="D9" s="709">
        <f t="shared" si="0"/>
        <v>790332</v>
      </c>
      <c r="E9" s="710"/>
      <c r="F9" s="711"/>
    </row>
    <row r="10" spans="1:7" ht="15" customHeight="1" x14ac:dyDescent="0.2">
      <c r="A10" s="712" t="s">
        <v>855</v>
      </c>
      <c r="B10" s="713">
        <v>-3927581.3400000008</v>
      </c>
      <c r="C10" s="714">
        <v>-4085194.9799999995</v>
      </c>
      <c r="D10" s="709">
        <f t="shared" si="0"/>
        <v>157613.63999999873</v>
      </c>
      <c r="E10" s="710"/>
      <c r="F10" s="711"/>
    </row>
    <row r="11" spans="1:7" ht="15" customHeight="1" x14ac:dyDescent="0.2">
      <c r="A11" s="712" t="s">
        <v>841</v>
      </c>
      <c r="B11" s="713">
        <v>-6574677.1900000013</v>
      </c>
      <c r="C11" s="714">
        <v>-6791065.9799999995</v>
      </c>
      <c r="D11" s="709">
        <f t="shared" si="0"/>
        <v>216388.78999999817</v>
      </c>
      <c r="E11" s="710"/>
      <c r="F11" s="711"/>
    </row>
    <row r="12" spans="1:7" ht="15" customHeight="1" x14ac:dyDescent="0.2">
      <c r="A12" s="712" t="s">
        <v>897</v>
      </c>
      <c r="B12" s="713">
        <v>-25120940.080000002</v>
      </c>
      <c r="C12" s="714">
        <v>-25322857.510000002</v>
      </c>
      <c r="D12" s="709">
        <f t="shared" si="0"/>
        <v>201917.4299999997</v>
      </c>
      <c r="E12" s="710"/>
      <c r="F12" s="711"/>
      <c r="G12" s="710"/>
    </row>
    <row r="13" spans="1:7" ht="15" customHeight="1" x14ac:dyDescent="0.2">
      <c r="A13" s="712" t="s">
        <v>839</v>
      </c>
      <c r="B13" s="713">
        <v>-5846363.9100000001</v>
      </c>
      <c r="C13" s="714">
        <v>-7842146.5999999996</v>
      </c>
      <c r="D13" s="709">
        <f t="shared" si="0"/>
        <v>1995782.6899999995</v>
      </c>
      <c r="E13" s="710"/>
      <c r="F13" s="711"/>
    </row>
    <row r="14" spans="1:7" ht="15" customHeight="1" x14ac:dyDescent="0.2">
      <c r="A14" s="712" t="s">
        <v>898</v>
      </c>
      <c r="B14" s="713">
        <v>-7291332.5399999991</v>
      </c>
      <c r="C14" s="714">
        <v>-12228618.530000001</v>
      </c>
      <c r="D14" s="709">
        <f t="shared" si="0"/>
        <v>4937285.9900000021</v>
      </c>
      <c r="E14" s="710"/>
      <c r="F14" s="711"/>
    </row>
    <row r="15" spans="1:7" ht="15" customHeight="1" x14ac:dyDescent="0.2">
      <c r="A15" s="712" t="s">
        <v>869</v>
      </c>
      <c r="B15" s="713">
        <v>-7040964.8899999997</v>
      </c>
      <c r="C15" s="714">
        <v>-6057126.379999999</v>
      </c>
      <c r="D15" s="709">
        <f t="shared" si="0"/>
        <v>-983838.51000000071</v>
      </c>
      <c r="E15" s="710"/>
      <c r="F15" s="711"/>
    </row>
    <row r="16" spans="1:7" ht="15" customHeight="1" x14ac:dyDescent="0.2">
      <c r="A16" s="712" t="s">
        <v>837</v>
      </c>
      <c r="B16" s="713">
        <v>-6125029.9600000009</v>
      </c>
      <c r="C16" s="714">
        <v>-5658971.9100000011</v>
      </c>
      <c r="D16" s="709">
        <f t="shared" si="0"/>
        <v>-466058.04999999981</v>
      </c>
      <c r="E16" s="710"/>
      <c r="F16" s="711"/>
    </row>
    <row r="17" spans="1:6" ht="15" customHeight="1" x14ac:dyDescent="0.2">
      <c r="A17" s="712" t="s">
        <v>845</v>
      </c>
      <c r="B17" s="713">
        <v>-5597779.7800000003</v>
      </c>
      <c r="C17" s="714">
        <v>-5244930.6399999997</v>
      </c>
      <c r="D17" s="709">
        <f t="shared" si="0"/>
        <v>-352849.1400000006</v>
      </c>
      <c r="E17" s="710"/>
      <c r="F17" s="711"/>
    </row>
    <row r="18" spans="1:6" ht="15" customHeight="1" x14ac:dyDescent="0.2">
      <c r="A18" s="712" t="s">
        <v>852</v>
      </c>
      <c r="B18" s="713">
        <v>-10402078.360000001</v>
      </c>
      <c r="C18" s="714">
        <v>-11640727.370000001</v>
      </c>
      <c r="D18" s="709">
        <f t="shared" si="0"/>
        <v>1238649.0099999998</v>
      </c>
      <c r="E18" s="710"/>
      <c r="F18" s="711"/>
    </row>
    <row r="19" spans="1:6" ht="15" customHeight="1" x14ac:dyDescent="0.2">
      <c r="A19" s="712" t="s">
        <v>838</v>
      </c>
      <c r="B19" s="713">
        <v>-7747470.4899999993</v>
      </c>
      <c r="C19" s="714">
        <v>-6988395.7699999996</v>
      </c>
      <c r="D19" s="709">
        <f t="shared" si="0"/>
        <v>-759074.71999999974</v>
      </c>
      <c r="E19" s="710"/>
      <c r="F19" s="711"/>
    </row>
    <row r="20" spans="1:6" ht="15" customHeight="1" x14ac:dyDescent="0.2">
      <c r="A20" s="712" t="s">
        <v>844</v>
      </c>
      <c r="B20" s="713">
        <v>-13004164.859999999</v>
      </c>
      <c r="C20" s="714">
        <v>-12810907.52</v>
      </c>
      <c r="D20" s="709">
        <f t="shared" si="0"/>
        <v>-193257.33999999985</v>
      </c>
      <c r="E20" s="710"/>
      <c r="F20" s="711"/>
    </row>
    <row r="21" spans="1:6" ht="15" customHeight="1" x14ac:dyDescent="0.2">
      <c r="A21" s="712" t="s">
        <v>840</v>
      </c>
      <c r="B21" s="713">
        <v>-17130583.030000001</v>
      </c>
      <c r="C21" s="714">
        <v>-19098304.170000002</v>
      </c>
      <c r="D21" s="709">
        <f t="shared" si="0"/>
        <v>1967721.1400000006</v>
      </c>
      <c r="E21" s="710"/>
      <c r="F21" s="711"/>
    </row>
    <row r="22" spans="1:6" ht="15" customHeight="1" x14ac:dyDescent="0.2">
      <c r="A22" s="712" t="s">
        <v>856</v>
      </c>
      <c r="B22" s="713">
        <v>-12210041.210000001</v>
      </c>
      <c r="C22" s="714">
        <v>-12545354.530000003</v>
      </c>
      <c r="D22" s="709">
        <f t="shared" si="0"/>
        <v>335313.32000000216</v>
      </c>
      <c r="E22" s="710"/>
      <c r="F22" s="711"/>
    </row>
    <row r="23" spans="1:6" ht="15" customHeight="1" x14ac:dyDescent="0.2">
      <c r="A23" s="712" t="s">
        <v>860</v>
      </c>
      <c r="B23" s="713">
        <v>-14704463.829999998</v>
      </c>
      <c r="C23" s="714">
        <v>-15684522.239999998</v>
      </c>
      <c r="D23" s="709">
        <f t="shared" si="0"/>
        <v>980058.41000000015</v>
      </c>
      <c r="E23" s="710"/>
      <c r="F23" s="711"/>
    </row>
    <row r="24" spans="1:6" ht="15" customHeight="1" x14ac:dyDescent="0.2">
      <c r="A24" s="712" t="s">
        <v>871</v>
      </c>
      <c r="B24" s="713">
        <v>-4391004.5200000005</v>
      </c>
      <c r="C24" s="714">
        <v>-2953672.1100000008</v>
      </c>
      <c r="D24" s="709">
        <f t="shared" si="0"/>
        <v>-1437332.4099999997</v>
      </c>
      <c r="E24" s="710"/>
      <c r="F24" s="711"/>
    </row>
    <row r="25" spans="1:6" ht="15" customHeight="1" x14ac:dyDescent="0.2">
      <c r="A25" s="712" t="s">
        <v>847</v>
      </c>
      <c r="B25" s="713">
        <v>-5672247.4299999997</v>
      </c>
      <c r="C25" s="714">
        <v>-5832443.79</v>
      </c>
      <c r="D25" s="709">
        <f t="shared" si="0"/>
        <v>160196.36000000034</v>
      </c>
      <c r="E25" s="710"/>
      <c r="F25" s="711"/>
    </row>
    <row r="26" spans="1:6" ht="15" customHeight="1" x14ac:dyDescent="0.2">
      <c r="A26" s="712" t="s">
        <v>849</v>
      </c>
      <c r="B26" s="713">
        <v>-9465748.3200000003</v>
      </c>
      <c r="C26" s="714">
        <v>-9944792.9600000009</v>
      </c>
      <c r="D26" s="709">
        <f t="shared" si="0"/>
        <v>479044.6400000006</v>
      </c>
      <c r="E26" s="710"/>
      <c r="F26" s="711"/>
    </row>
    <row r="27" spans="1:6" ht="15" customHeight="1" x14ac:dyDescent="0.2">
      <c r="A27" s="712" t="s">
        <v>859</v>
      </c>
      <c r="B27" s="713">
        <v>-6966553.4800000004</v>
      </c>
      <c r="C27" s="714">
        <v>-6719005.4299999997</v>
      </c>
      <c r="D27" s="709">
        <f t="shared" si="0"/>
        <v>-247548.05000000075</v>
      </c>
      <c r="E27" s="710"/>
      <c r="F27" s="711"/>
    </row>
    <row r="28" spans="1:6" ht="15" customHeight="1" x14ac:dyDescent="0.2">
      <c r="A28" s="712" t="s">
        <v>846</v>
      </c>
      <c r="B28" s="713">
        <v>-1812045.06</v>
      </c>
      <c r="C28" s="714">
        <v>-2050850.07</v>
      </c>
      <c r="D28" s="709">
        <f t="shared" si="0"/>
        <v>238805.01</v>
      </c>
      <c r="E28" s="710"/>
      <c r="F28" s="711"/>
    </row>
    <row r="29" spans="1:6" ht="15" customHeight="1" x14ac:dyDescent="0.2">
      <c r="A29" s="712" t="s">
        <v>862</v>
      </c>
      <c r="B29" s="713">
        <v>-2325534.85</v>
      </c>
      <c r="C29" s="714">
        <v>-2182304.88</v>
      </c>
      <c r="D29" s="709">
        <f t="shared" si="0"/>
        <v>-143229.9700000002</v>
      </c>
      <c r="E29" s="710"/>
      <c r="F29" s="711"/>
    </row>
    <row r="30" spans="1:6" ht="15" customHeight="1" x14ac:dyDescent="0.2">
      <c r="A30" s="712" t="s">
        <v>867</v>
      </c>
      <c r="B30" s="713">
        <v>-8585386.7199999988</v>
      </c>
      <c r="C30" s="714">
        <v>-8150019.04</v>
      </c>
      <c r="D30" s="709">
        <f t="shared" si="0"/>
        <v>-435367.67999999877</v>
      </c>
      <c r="E30" s="710"/>
      <c r="F30" s="711"/>
    </row>
    <row r="31" spans="1:6" ht="15" customHeight="1" x14ac:dyDescent="0.2">
      <c r="A31" s="712" t="s">
        <v>863</v>
      </c>
      <c r="B31" s="713">
        <v>-3807591.6100000003</v>
      </c>
      <c r="C31" s="714">
        <v>-3712245.1300000004</v>
      </c>
      <c r="D31" s="709">
        <f t="shared" si="0"/>
        <v>-95346.479999999981</v>
      </c>
      <c r="E31" s="710"/>
      <c r="F31" s="711"/>
    </row>
    <row r="32" spans="1:6" ht="15" customHeight="1" x14ac:dyDescent="0.2">
      <c r="A32" s="712" t="s">
        <v>853</v>
      </c>
      <c r="B32" s="713">
        <v>-12737838.43</v>
      </c>
      <c r="C32" s="714">
        <v>-12127237.6</v>
      </c>
      <c r="D32" s="709">
        <f t="shared" si="0"/>
        <v>-610600.83000000007</v>
      </c>
      <c r="E32" s="710"/>
      <c r="F32" s="711"/>
    </row>
    <row r="33" spans="1:13" ht="15" customHeight="1" x14ac:dyDescent="0.2">
      <c r="A33" s="712" t="s">
        <v>866</v>
      </c>
      <c r="B33" s="713">
        <v>-17235642.440000001</v>
      </c>
      <c r="C33" s="714">
        <v>-17779027</v>
      </c>
      <c r="D33" s="709">
        <f t="shared" si="0"/>
        <v>543384.55999999866</v>
      </c>
      <c r="E33" s="710"/>
      <c r="F33" s="711"/>
    </row>
    <row r="34" spans="1:13" ht="15" customHeight="1" x14ac:dyDescent="0.2">
      <c r="A34" s="712" t="s">
        <v>848</v>
      </c>
      <c r="B34" s="713">
        <v>-1352071.8</v>
      </c>
      <c r="C34" s="714">
        <v>-1689392.1400000001</v>
      </c>
      <c r="D34" s="709">
        <f t="shared" si="0"/>
        <v>337320.34000000008</v>
      </c>
      <c r="E34" s="710"/>
      <c r="F34" s="711"/>
    </row>
    <row r="35" spans="1:13" ht="15" customHeight="1" x14ac:dyDescent="0.2">
      <c r="A35" s="712" t="s">
        <v>899</v>
      </c>
      <c r="B35" s="713">
        <v>-3316482.4899999993</v>
      </c>
      <c r="C35" s="714">
        <v>-3425855.4000000004</v>
      </c>
      <c r="D35" s="709">
        <f t="shared" si="0"/>
        <v>109372.91000000108</v>
      </c>
      <c r="E35" s="710"/>
      <c r="F35" s="711"/>
    </row>
    <row r="36" spans="1:13" ht="15" customHeight="1" x14ac:dyDescent="0.2">
      <c r="A36" s="712" t="s">
        <v>870</v>
      </c>
      <c r="B36" s="713">
        <v>-8589474.3400000017</v>
      </c>
      <c r="C36" s="714">
        <v>-7273573.5600000005</v>
      </c>
      <c r="D36" s="709">
        <f t="shared" si="0"/>
        <v>-1315900.7800000012</v>
      </c>
      <c r="E36" s="710"/>
      <c r="F36" s="711"/>
    </row>
    <row r="37" spans="1:13" ht="15" customHeight="1" x14ac:dyDescent="0.2">
      <c r="A37" s="712" t="s">
        <v>865</v>
      </c>
      <c r="B37" s="713">
        <v>-5549806.3099999996</v>
      </c>
      <c r="C37" s="714">
        <v>-5206440.8900000006</v>
      </c>
      <c r="D37" s="709">
        <f t="shared" si="0"/>
        <v>-343365.41999999899</v>
      </c>
      <c r="E37" s="710"/>
      <c r="F37" s="711"/>
    </row>
    <row r="38" spans="1:13" ht="15" customHeight="1" thickBot="1" x14ac:dyDescent="0.25">
      <c r="A38" s="715" t="s">
        <v>850</v>
      </c>
      <c r="B38" s="716">
        <v>-11313391.300000001</v>
      </c>
      <c r="C38" s="717">
        <v>-11951881.909999998</v>
      </c>
      <c r="D38" s="709">
        <f t="shared" si="0"/>
        <v>638490.60999999754</v>
      </c>
      <c r="E38" s="710"/>
      <c r="F38" s="711"/>
    </row>
    <row r="39" spans="1:13" ht="25.5" customHeight="1" thickBot="1" x14ac:dyDescent="0.25">
      <c r="A39" s="718" t="s">
        <v>4</v>
      </c>
      <c r="B39" s="719">
        <f>SUM(B3:B38)</f>
        <v>-389089933.7700001</v>
      </c>
      <c r="C39" s="720">
        <f>SUM(C3:C38)</f>
        <v>-404403645.71000004</v>
      </c>
      <c r="D39" s="721">
        <f>SUM(D3:D38)</f>
        <v>15313711.939999977</v>
      </c>
      <c r="E39" s="711"/>
      <c r="M39" s="722"/>
    </row>
    <row r="40" spans="1:13" x14ac:dyDescent="0.2">
      <c r="C40" s="711"/>
    </row>
    <row r="41" spans="1:13" ht="51" customHeight="1" x14ac:dyDescent="0.2">
      <c r="A41" s="723"/>
      <c r="B41" s="724"/>
      <c r="C41" s="725"/>
      <c r="D41" s="725"/>
    </row>
  </sheetData>
  <mergeCells count="2">
    <mergeCell ref="A1:D1"/>
    <mergeCell ref="B41:D41"/>
  </mergeCells>
  <pageMargins left="0.78740157480314965" right="0.78740157480314965" top="1.3779527559055118" bottom="0.98425196850393704" header="0.9055118110236221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2FED"/>
    <pageSetUpPr fitToPage="1"/>
  </sheetPr>
  <dimension ref="A4:L19"/>
  <sheetViews>
    <sheetView zoomScale="80" zoomScaleNormal="80" workbookViewId="0">
      <selection activeCell="C22" sqref="C22:H22"/>
    </sheetView>
  </sheetViews>
  <sheetFormatPr defaultRowHeight="14.25" x14ac:dyDescent="0.2"/>
  <cols>
    <col min="1" max="1" width="16.140625" style="539" customWidth="1"/>
    <col min="2" max="2" width="16.7109375" style="539" bestFit="1" customWidth="1"/>
    <col min="3" max="3" width="26.85546875" style="539" customWidth="1"/>
    <col min="4" max="4" width="20" style="539" customWidth="1"/>
    <col min="5" max="5" width="13.5703125" style="539" customWidth="1"/>
    <col min="6" max="6" width="14.28515625" style="539" customWidth="1"/>
    <col min="7" max="7" width="12.42578125" style="539" bestFit="1" customWidth="1"/>
    <col min="8" max="8" width="13.5703125" style="539" bestFit="1" customWidth="1"/>
    <col min="9" max="9" width="16.28515625" style="539" customWidth="1"/>
    <col min="10" max="10" width="15.42578125" style="539" customWidth="1"/>
    <col min="11" max="11" width="12.42578125" style="539" bestFit="1" customWidth="1"/>
    <col min="12" max="250" width="9.140625" style="539"/>
    <col min="251" max="252" width="18" style="539" customWidth="1"/>
    <col min="253" max="253" width="22.28515625" style="539" customWidth="1"/>
    <col min="254" max="254" width="20.140625" style="539" customWidth="1"/>
    <col min="255" max="255" width="17.28515625" style="539" customWidth="1"/>
    <col min="256" max="256" width="9.140625" style="539"/>
    <col min="257" max="257" width="13.85546875" style="539" bestFit="1" customWidth="1"/>
    <col min="258" max="258" width="16.7109375" style="539" bestFit="1" customWidth="1"/>
    <col min="259" max="259" width="12.7109375" style="539" bestFit="1" customWidth="1"/>
    <col min="260" max="506" width="9.140625" style="539"/>
    <col min="507" max="508" width="18" style="539" customWidth="1"/>
    <col min="509" max="509" width="22.28515625" style="539" customWidth="1"/>
    <col min="510" max="510" width="20.140625" style="539" customWidth="1"/>
    <col min="511" max="511" width="17.28515625" style="539" customWidth="1"/>
    <col min="512" max="512" width="9.140625" style="539"/>
    <col min="513" max="513" width="13.85546875" style="539" bestFit="1" customWidth="1"/>
    <col min="514" max="514" width="16.7109375" style="539" bestFit="1" customWidth="1"/>
    <col min="515" max="515" width="12.7109375" style="539" bestFit="1" customWidth="1"/>
    <col min="516" max="762" width="9.140625" style="539"/>
    <col min="763" max="764" width="18" style="539" customWidth="1"/>
    <col min="765" max="765" width="22.28515625" style="539" customWidth="1"/>
    <col min="766" max="766" width="20.140625" style="539" customWidth="1"/>
    <col min="767" max="767" width="17.28515625" style="539" customWidth="1"/>
    <col min="768" max="768" width="9.140625" style="539"/>
    <col min="769" max="769" width="13.85546875" style="539" bestFit="1" customWidth="1"/>
    <col min="770" max="770" width="16.7109375" style="539" bestFit="1" customWidth="1"/>
    <col min="771" max="771" width="12.7109375" style="539" bestFit="1" customWidth="1"/>
    <col min="772" max="1018" width="9.140625" style="539"/>
    <col min="1019" max="1020" width="18" style="539" customWidth="1"/>
    <col min="1021" max="1021" width="22.28515625" style="539" customWidth="1"/>
    <col min="1022" max="1022" width="20.140625" style="539" customWidth="1"/>
    <col min="1023" max="1023" width="17.28515625" style="539" customWidth="1"/>
    <col min="1024" max="1024" width="9.140625" style="539"/>
    <col min="1025" max="1025" width="13.85546875" style="539" bestFit="1" customWidth="1"/>
    <col min="1026" max="1026" width="16.7109375" style="539" bestFit="1" customWidth="1"/>
    <col min="1027" max="1027" width="12.7109375" style="539" bestFit="1" customWidth="1"/>
    <col min="1028" max="1274" width="9.140625" style="539"/>
    <col min="1275" max="1276" width="18" style="539" customWidth="1"/>
    <col min="1277" max="1277" width="22.28515625" style="539" customWidth="1"/>
    <col min="1278" max="1278" width="20.140625" style="539" customWidth="1"/>
    <col min="1279" max="1279" width="17.28515625" style="539" customWidth="1"/>
    <col min="1280" max="1280" width="9.140625" style="539"/>
    <col min="1281" max="1281" width="13.85546875" style="539" bestFit="1" customWidth="1"/>
    <col min="1282" max="1282" width="16.7109375" style="539" bestFit="1" customWidth="1"/>
    <col min="1283" max="1283" width="12.7109375" style="539" bestFit="1" customWidth="1"/>
    <col min="1284" max="1530" width="9.140625" style="539"/>
    <col min="1531" max="1532" width="18" style="539" customWidth="1"/>
    <col min="1533" max="1533" width="22.28515625" style="539" customWidth="1"/>
    <col min="1534" max="1534" width="20.140625" style="539" customWidth="1"/>
    <col min="1535" max="1535" width="17.28515625" style="539" customWidth="1"/>
    <col min="1536" max="1536" width="9.140625" style="539"/>
    <col min="1537" max="1537" width="13.85546875" style="539" bestFit="1" customWidth="1"/>
    <col min="1538" max="1538" width="16.7109375" style="539" bestFit="1" customWidth="1"/>
    <col min="1539" max="1539" width="12.7109375" style="539" bestFit="1" customWidth="1"/>
    <col min="1540" max="1786" width="9.140625" style="539"/>
    <col min="1787" max="1788" width="18" style="539" customWidth="1"/>
    <col min="1789" max="1789" width="22.28515625" style="539" customWidth="1"/>
    <col min="1790" max="1790" width="20.140625" style="539" customWidth="1"/>
    <col min="1791" max="1791" width="17.28515625" style="539" customWidth="1"/>
    <col min="1792" max="1792" width="9.140625" style="539"/>
    <col min="1793" max="1793" width="13.85546875" style="539" bestFit="1" customWidth="1"/>
    <col min="1794" max="1794" width="16.7109375" style="539" bestFit="1" customWidth="1"/>
    <col min="1795" max="1795" width="12.7109375" style="539" bestFit="1" customWidth="1"/>
    <col min="1796" max="2042" width="9.140625" style="539"/>
    <col min="2043" max="2044" width="18" style="539" customWidth="1"/>
    <col min="2045" max="2045" width="22.28515625" style="539" customWidth="1"/>
    <col min="2046" max="2046" width="20.140625" style="539" customWidth="1"/>
    <col min="2047" max="2047" width="17.28515625" style="539" customWidth="1"/>
    <col min="2048" max="2048" width="9.140625" style="539"/>
    <col min="2049" max="2049" width="13.85546875" style="539" bestFit="1" customWidth="1"/>
    <col min="2050" max="2050" width="16.7109375" style="539" bestFit="1" customWidth="1"/>
    <col min="2051" max="2051" width="12.7109375" style="539" bestFit="1" customWidth="1"/>
    <col min="2052" max="2298" width="9.140625" style="539"/>
    <col min="2299" max="2300" width="18" style="539" customWidth="1"/>
    <col min="2301" max="2301" width="22.28515625" style="539" customWidth="1"/>
    <col min="2302" max="2302" width="20.140625" style="539" customWidth="1"/>
    <col min="2303" max="2303" width="17.28515625" style="539" customWidth="1"/>
    <col min="2304" max="2304" width="9.140625" style="539"/>
    <col min="2305" max="2305" width="13.85546875" style="539" bestFit="1" customWidth="1"/>
    <col min="2306" max="2306" width="16.7109375" style="539" bestFit="1" customWidth="1"/>
    <col min="2307" max="2307" width="12.7109375" style="539" bestFit="1" customWidth="1"/>
    <col min="2308" max="2554" width="9.140625" style="539"/>
    <col min="2555" max="2556" width="18" style="539" customWidth="1"/>
    <col min="2557" max="2557" width="22.28515625" style="539" customWidth="1"/>
    <col min="2558" max="2558" width="20.140625" style="539" customWidth="1"/>
    <col min="2559" max="2559" width="17.28515625" style="539" customWidth="1"/>
    <col min="2560" max="2560" width="9.140625" style="539"/>
    <col min="2561" max="2561" width="13.85546875" style="539" bestFit="1" customWidth="1"/>
    <col min="2562" max="2562" width="16.7109375" style="539" bestFit="1" customWidth="1"/>
    <col min="2563" max="2563" width="12.7109375" style="539" bestFit="1" customWidth="1"/>
    <col min="2564" max="2810" width="9.140625" style="539"/>
    <col min="2811" max="2812" width="18" style="539" customWidth="1"/>
    <col min="2813" max="2813" width="22.28515625" style="539" customWidth="1"/>
    <col min="2814" max="2814" width="20.140625" style="539" customWidth="1"/>
    <col min="2815" max="2815" width="17.28515625" style="539" customWidth="1"/>
    <col min="2816" max="2816" width="9.140625" style="539"/>
    <col min="2817" max="2817" width="13.85546875" style="539" bestFit="1" customWidth="1"/>
    <col min="2818" max="2818" width="16.7109375" style="539" bestFit="1" customWidth="1"/>
    <col min="2819" max="2819" width="12.7109375" style="539" bestFit="1" customWidth="1"/>
    <col min="2820" max="3066" width="9.140625" style="539"/>
    <col min="3067" max="3068" width="18" style="539" customWidth="1"/>
    <col min="3069" max="3069" width="22.28515625" style="539" customWidth="1"/>
    <col min="3070" max="3070" width="20.140625" style="539" customWidth="1"/>
    <col min="3071" max="3071" width="17.28515625" style="539" customWidth="1"/>
    <col min="3072" max="3072" width="9.140625" style="539"/>
    <col min="3073" max="3073" width="13.85546875" style="539" bestFit="1" customWidth="1"/>
    <col min="3074" max="3074" width="16.7109375" style="539" bestFit="1" customWidth="1"/>
    <col min="3075" max="3075" width="12.7109375" style="539" bestFit="1" customWidth="1"/>
    <col min="3076" max="3322" width="9.140625" style="539"/>
    <col min="3323" max="3324" width="18" style="539" customWidth="1"/>
    <col min="3325" max="3325" width="22.28515625" style="539" customWidth="1"/>
    <col min="3326" max="3326" width="20.140625" style="539" customWidth="1"/>
    <col min="3327" max="3327" width="17.28515625" style="539" customWidth="1"/>
    <col min="3328" max="3328" width="9.140625" style="539"/>
    <col min="3329" max="3329" width="13.85546875" style="539" bestFit="1" customWidth="1"/>
    <col min="3330" max="3330" width="16.7109375" style="539" bestFit="1" customWidth="1"/>
    <col min="3331" max="3331" width="12.7109375" style="539" bestFit="1" customWidth="1"/>
    <col min="3332" max="3578" width="9.140625" style="539"/>
    <col min="3579" max="3580" width="18" style="539" customWidth="1"/>
    <col min="3581" max="3581" width="22.28515625" style="539" customWidth="1"/>
    <col min="3582" max="3582" width="20.140625" style="539" customWidth="1"/>
    <col min="3583" max="3583" width="17.28515625" style="539" customWidth="1"/>
    <col min="3584" max="3584" width="9.140625" style="539"/>
    <col min="3585" max="3585" width="13.85546875" style="539" bestFit="1" customWidth="1"/>
    <col min="3586" max="3586" width="16.7109375" style="539" bestFit="1" customWidth="1"/>
    <col min="3587" max="3587" width="12.7109375" style="539" bestFit="1" customWidth="1"/>
    <col min="3588" max="3834" width="9.140625" style="539"/>
    <col min="3835" max="3836" width="18" style="539" customWidth="1"/>
    <col min="3837" max="3837" width="22.28515625" style="539" customWidth="1"/>
    <col min="3838" max="3838" width="20.140625" style="539" customWidth="1"/>
    <col min="3839" max="3839" width="17.28515625" style="539" customWidth="1"/>
    <col min="3840" max="3840" width="9.140625" style="539"/>
    <col min="3841" max="3841" width="13.85546875" style="539" bestFit="1" customWidth="1"/>
    <col min="3842" max="3842" width="16.7109375" style="539" bestFit="1" customWidth="1"/>
    <col min="3843" max="3843" width="12.7109375" style="539" bestFit="1" customWidth="1"/>
    <col min="3844" max="4090" width="9.140625" style="539"/>
    <col min="4091" max="4092" width="18" style="539" customWidth="1"/>
    <col min="4093" max="4093" width="22.28515625" style="539" customWidth="1"/>
    <col min="4094" max="4094" width="20.140625" style="539" customWidth="1"/>
    <col min="4095" max="4095" width="17.28515625" style="539" customWidth="1"/>
    <col min="4096" max="4096" width="9.140625" style="539"/>
    <col min="4097" max="4097" width="13.85546875" style="539" bestFit="1" customWidth="1"/>
    <col min="4098" max="4098" width="16.7109375" style="539" bestFit="1" customWidth="1"/>
    <col min="4099" max="4099" width="12.7109375" style="539" bestFit="1" customWidth="1"/>
    <col min="4100" max="4346" width="9.140625" style="539"/>
    <col min="4347" max="4348" width="18" style="539" customWidth="1"/>
    <col min="4349" max="4349" width="22.28515625" style="539" customWidth="1"/>
    <col min="4350" max="4350" width="20.140625" style="539" customWidth="1"/>
    <col min="4351" max="4351" width="17.28515625" style="539" customWidth="1"/>
    <col min="4352" max="4352" width="9.140625" style="539"/>
    <col min="4353" max="4353" width="13.85546875" style="539" bestFit="1" customWidth="1"/>
    <col min="4354" max="4354" width="16.7109375" style="539" bestFit="1" customWidth="1"/>
    <col min="4355" max="4355" width="12.7109375" style="539" bestFit="1" customWidth="1"/>
    <col min="4356" max="4602" width="9.140625" style="539"/>
    <col min="4603" max="4604" width="18" style="539" customWidth="1"/>
    <col min="4605" max="4605" width="22.28515625" style="539" customWidth="1"/>
    <col min="4606" max="4606" width="20.140625" style="539" customWidth="1"/>
    <col min="4607" max="4607" width="17.28515625" style="539" customWidth="1"/>
    <col min="4608" max="4608" width="9.140625" style="539"/>
    <col min="4609" max="4609" width="13.85546875" style="539" bestFit="1" customWidth="1"/>
    <col min="4610" max="4610" width="16.7109375" style="539" bestFit="1" customWidth="1"/>
    <col min="4611" max="4611" width="12.7109375" style="539" bestFit="1" customWidth="1"/>
    <col min="4612" max="4858" width="9.140625" style="539"/>
    <col min="4859" max="4860" width="18" style="539" customWidth="1"/>
    <col min="4861" max="4861" width="22.28515625" style="539" customWidth="1"/>
    <col min="4862" max="4862" width="20.140625" style="539" customWidth="1"/>
    <col min="4863" max="4863" width="17.28515625" style="539" customWidth="1"/>
    <col min="4864" max="4864" width="9.140625" style="539"/>
    <col min="4865" max="4865" width="13.85546875" style="539" bestFit="1" customWidth="1"/>
    <col min="4866" max="4866" width="16.7109375" style="539" bestFit="1" customWidth="1"/>
    <col min="4867" max="4867" width="12.7109375" style="539" bestFit="1" customWidth="1"/>
    <col min="4868" max="5114" width="9.140625" style="539"/>
    <col min="5115" max="5116" width="18" style="539" customWidth="1"/>
    <col min="5117" max="5117" width="22.28515625" style="539" customWidth="1"/>
    <col min="5118" max="5118" width="20.140625" style="539" customWidth="1"/>
    <col min="5119" max="5119" width="17.28515625" style="539" customWidth="1"/>
    <col min="5120" max="5120" width="9.140625" style="539"/>
    <col min="5121" max="5121" width="13.85546875" style="539" bestFit="1" customWidth="1"/>
    <col min="5122" max="5122" width="16.7109375" style="539" bestFit="1" customWidth="1"/>
    <col min="5123" max="5123" width="12.7109375" style="539" bestFit="1" customWidth="1"/>
    <col min="5124" max="5370" width="9.140625" style="539"/>
    <col min="5371" max="5372" width="18" style="539" customWidth="1"/>
    <col min="5373" max="5373" width="22.28515625" style="539" customWidth="1"/>
    <col min="5374" max="5374" width="20.140625" style="539" customWidth="1"/>
    <col min="5375" max="5375" width="17.28515625" style="539" customWidth="1"/>
    <col min="5376" max="5376" width="9.140625" style="539"/>
    <col min="5377" max="5377" width="13.85546875" style="539" bestFit="1" customWidth="1"/>
    <col min="5378" max="5378" width="16.7109375" style="539" bestFit="1" customWidth="1"/>
    <col min="5379" max="5379" width="12.7109375" style="539" bestFit="1" customWidth="1"/>
    <col min="5380" max="5626" width="9.140625" style="539"/>
    <col min="5627" max="5628" width="18" style="539" customWidth="1"/>
    <col min="5629" max="5629" width="22.28515625" style="539" customWidth="1"/>
    <col min="5630" max="5630" width="20.140625" style="539" customWidth="1"/>
    <col min="5631" max="5631" width="17.28515625" style="539" customWidth="1"/>
    <col min="5632" max="5632" width="9.140625" style="539"/>
    <col min="5633" max="5633" width="13.85546875" style="539" bestFit="1" customWidth="1"/>
    <col min="5634" max="5634" width="16.7109375" style="539" bestFit="1" customWidth="1"/>
    <col min="5635" max="5635" width="12.7109375" style="539" bestFit="1" customWidth="1"/>
    <col min="5636" max="5882" width="9.140625" style="539"/>
    <col min="5883" max="5884" width="18" style="539" customWidth="1"/>
    <col min="5885" max="5885" width="22.28515625" style="539" customWidth="1"/>
    <col min="5886" max="5886" width="20.140625" style="539" customWidth="1"/>
    <col min="5887" max="5887" width="17.28515625" style="539" customWidth="1"/>
    <col min="5888" max="5888" width="9.140625" style="539"/>
    <col min="5889" max="5889" width="13.85546875" style="539" bestFit="1" customWidth="1"/>
    <col min="5890" max="5890" width="16.7109375" style="539" bestFit="1" customWidth="1"/>
    <col min="5891" max="5891" width="12.7109375" style="539" bestFit="1" customWidth="1"/>
    <col min="5892" max="6138" width="9.140625" style="539"/>
    <col min="6139" max="6140" width="18" style="539" customWidth="1"/>
    <col min="6141" max="6141" width="22.28515625" style="539" customWidth="1"/>
    <col min="6142" max="6142" width="20.140625" style="539" customWidth="1"/>
    <col min="6143" max="6143" width="17.28515625" style="539" customWidth="1"/>
    <col min="6144" max="6144" width="9.140625" style="539"/>
    <col min="6145" max="6145" width="13.85546875" style="539" bestFit="1" customWidth="1"/>
    <col min="6146" max="6146" width="16.7109375" style="539" bestFit="1" customWidth="1"/>
    <col min="6147" max="6147" width="12.7109375" style="539" bestFit="1" customWidth="1"/>
    <col min="6148" max="6394" width="9.140625" style="539"/>
    <col min="6395" max="6396" width="18" style="539" customWidth="1"/>
    <col min="6397" max="6397" width="22.28515625" style="539" customWidth="1"/>
    <col min="6398" max="6398" width="20.140625" style="539" customWidth="1"/>
    <col min="6399" max="6399" width="17.28515625" style="539" customWidth="1"/>
    <col min="6400" max="6400" width="9.140625" style="539"/>
    <col min="6401" max="6401" width="13.85546875" style="539" bestFit="1" customWidth="1"/>
    <col min="6402" max="6402" width="16.7109375" style="539" bestFit="1" customWidth="1"/>
    <col min="6403" max="6403" width="12.7109375" style="539" bestFit="1" customWidth="1"/>
    <col min="6404" max="6650" width="9.140625" style="539"/>
    <col min="6651" max="6652" width="18" style="539" customWidth="1"/>
    <col min="6653" max="6653" width="22.28515625" style="539" customWidth="1"/>
    <col min="6654" max="6654" width="20.140625" style="539" customWidth="1"/>
    <col min="6655" max="6655" width="17.28515625" style="539" customWidth="1"/>
    <col min="6656" max="6656" width="9.140625" style="539"/>
    <col min="6657" max="6657" width="13.85546875" style="539" bestFit="1" customWidth="1"/>
    <col min="6658" max="6658" width="16.7109375" style="539" bestFit="1" customWidth="1"/>
    <col min="6659" max="6659" width="12.7109375" style="539" bestFit="1" customWidth="1"/>
    <col min="6660" max="6906" width="9.140625" style="539"/>
    <col min="6907" max="6908" width="18" style="539" customWidth="1"/>
    <col min="6909" max="6909" width="22.28515625" style="539" customWidth="1"/>
    <col min="6910" max="6910" width="20.140625" style="539" customWidth="1"/>
    <col min="6911" max="6911" width="17.28515625" style="539" customWidth="1"/>
    <col min="6912" max="6912" width="9.140625" style="539"/>
    <col min="6913" max="6913" width="13.85546875" style="539" bestFit="1" customWidth="1"/>
    <col min="6914" max="6914" width="16.7109375" style="539" bestFit="1" customWidth="1"/>
    <col min="6915" max="6915" width="12.7109375" style="539" bestFit="1" customWidth="1"/>
    <col min="6916" max="7162" width="9.140625" style="539"/>
    <col min="7163" max="7164" width="18" style="539" customWidth="1"/>
    <col min="7165" max="7165" width="22.28515625" style="539" customWidth="1"/>
    <col min="7166" max="7166" width="20.140625" style="539" customWidth="1"/>
    <col min="7167" max="7167" width="17.28515625" style="539" customWidth="1"/>
    <col min="7168" max="7168" width="9.140625" style="539"/>
    <col min="7169" max="7169" width="13.85546875" style="539" bestFit="1" customWidth="1"/>
    <col min="7170" max="7170" width="16.7109375" style="539" bestFit="1" customWidth="1"/>
    <col min="7171" max="7171" width="12.7109375" style="539" bestFit="1" customWidth="1"/>
    <col min="7172" max="7418" width="9.140625" style="539"/>
    <col min="7419" max="7420" width="18" style="539" customWidth="1"/>
    <col min="7421" max="7421" width="22.28515625" style="539" customWidth="1"/>
    <col min="7422" max="7422" width="20.140625" style="539" customWidth="1"/>
    <col min="7423" max="7423" width="17.28515625" style="539" customWidth="1"/>
    <col min="7424" max="7424" width="9.140625" style="539"/>
    <col min="7425" max="7425" width="13.85546875" style="539" bestFit="1" customWidth="1"/>
    <col min="7426" max="7426" width="16.7109375" style="539" bestFit="1" customWidth="1"/>
    <col min="7427" max="7427" width="12.7109375" style="539" bestFit="1" customWidth="1"/>
    <col min="7428" max="7674" width="9.140625" style="539"/>
    <col min="7675" max="7676" width="18" style="539" customWidth="1"/>
    <col min="7677" max="7677" width="22.28515625" style="539" customWidth="1"/>
    <col min="7678" max="7678" width="20.140625" style="539" customWidth="1"/>
    <col min="7679" max="7679" width="17.28515625" style="539" customWidth="1"/>
    <col min="7680" max="7680" width="9.140625" style="539"/>
    <col min="7681" max="7681" width="13.85546875" style="539" bestFit="1" customWidth="1"/>
    <col min="7682" max="7682" width="16.7109375" style="539" bestFit="1" customWidth="1"/>
    <col min="7683" max="7683" width="12.7109375" style="539" bestFit="1" customWidth="1"/>
    <col min="7684" max="7930" width="9.140625" style="539"/>
    <col min="7931" max="7932" width="18" style="539" customWidth="1"/>
    <col min="7933" max="7933" width="22.28515625" style="539" customWidth="1"/>
    <col min="7934" max="7934" width="20.140625" style="539" customWidth="1"/>
    <col min="7935" max="7935" width="17.28515625" style="539" customWidth="1"/>
    <col min="7936" max="7936" width="9.140625" style="539"/>
    <col min="7937" max="7937" width="13.85546875" style="539" bestFit="1" customWidth="1"/>
    <col min="7938" max="7938" width="16.7109375" style="539" bestFit="1" customWidth="1"/>
    <col min="7939" max="7939" width="12.7109375" style="539" bestFit="1" customWidth="1"/>
    <col min="7940" max="8186" width="9.140625" style="539"/>
    <col min="8187" max="8188" width="18" style="539" customWidth="1"/>
    <col min="8189" max="8189" width="22.28515625" style="539" customWidth="1"/>
    <col min="8190" max="8190" width="20.140625" style="539" customWidth="1"/>
    <col min="8191" max="8191" width="17.28515625" style="539" customWidth="1"/>
    <col min="8192" max="8192" width="9.140625" style="539"/>
    <col min="8193" max="8193" width="13.85546875" style="539" bestFit="1" customWidth="1"/>
    <col min="8194" max="8194" width="16.7109375" style="539" bestFit="1" customWidth="1"/>
    <col min="8195" max="8195" width="12.7109375" style="539" bestFit="1" customWidth="1"/>
    <col min="8196" max="8442" width="9.140625" style="539"/>
    <col min="8443" max="8444" width="18" style="539" customWidth="1"/>
    <col min="8445" max="8445" width="22.28515625" style="539" customWidth="1"/>
    <col min="8446" max="8446" width="20.140625" style="539" customWidth="1"/>
    <col min="8447" max="8447" width="17.28515625" style="539" customWidth="1"/>
    <col min="8448" max="8448" width="9.140625" style="539"/>
    <col min="8449" max="8449" width="13.85546875" style="539" bestFit="1" customWidth="1"/>
    <col min="8450" max="8450" width="16.7109375" style="539" bestFit="1" customWidth="1"/>
    <col min="8451" max="8451" width="12.7109375" style="539" bestFit="1" customWidth="1"/>
    <col min="8452" max="8698" width="9.140625" style="539"/>
    <col min="8699" max="8700" width="18" style="539" customWidth="1"/>
    <col min="8701" max="8701" width="22.28515625" style="539" customWidth="1"/>
    <col min="8702" max="8702" width="20.140625" style="539" customWidth="1"/>
    <col min="8703" max="8703" width="17.28515625" style="539" customWidth="1"/>
    <col min="8704" max="8704" width="9.140625" style="539"/>
    <col min="8705" max="8705" width="13.85546875" style="539" bestFit="1" customWidth="1"/>
    <col min="8706" max="8706" width="16.7109375" style="539" bestFit="1" customWidth="1"/>
    <col min="8707" max="8707" width="12.7109375" style="539" bestFit="1" customWidth="1"/>
    <col min="8708" max="8954" width="9.140625" style="539"/>
    <col min="8955" max="8956" width="18" style="539" customWidth="1"/>
    <col min="8957" max="8957" width="22.28515625" style="539" customWidth="1"/>
    <col min="8958" max="8958" width="20.140625" style="539" customWidth="1"/>
    <col min="8959" max="8959" width="17.28515625" style="539" customWidth="1"/>
    <col min="8960" max="8960" width="9.140625" style="539"/>
    <col min="8961" max="8961" width="13.85546875" style="539" bestFit="1" customWidth="1"/>
    <col min="8962" max="8962" width="16.7109375" style="539" bestFit="1" customWidth="1"/>
    <col min="8963" max="8963" width="12.7109375" style="539" bestFit="1" customWidth="1"/>
    <col min="8964" max="9210" width="9.140625" style="539"/>
    <col min="9211" max="9212" width="18" style="539" customWidth="1"/>
    <col min="9213" max="9213" width="22.28515625" style="539" customWidth="1"/>
    <col min="9214" max="9214" width="20.140625" style="539" customWidth="1"/>
    <col min="9215" max="9215" width="17.28515625" style="539" customWidth="1"/>
    <col min="9216" max="9216" width="9.140625" style="539"/>
    <col min="9217" max="9217" width="13.85546875" style="539" bestFit="1" customWidth="1"/>
    <col min="9218" max="9218" width="16.7109375" style="539" bestFit="1" customWidth="1"/>
    <col min="9219" max="9219" width="12.7109375" style="539" bestFit="1" customWidth="1"/>
    <col min="9220" max="9466" width="9.140625" style="539"/>
    <col min="9467" max="9468" width="18" style="539" customWidth="1"/>
    <col min="9469" max="9469" width="22.28515625" style="539" customWidth="1"/>
    <col min="9470" max="9470" width="20.140625" style="539" customWidth="1"/>
    <col min="9471" max="9471" width="17.28515625" style="539" customWidth="1"/>
    <col min="9472" max="9472" width="9.140625" style="539"/>
    <col min="9473" max="9473" width="13.85546875" style="539" bestFit="1" customWidth="1"/>
    <col min="9474" max="9474" width="16.7109375" style="539" bestFit="1" customWidth="1"/>
    <col min="9475" max="9475" width="12.7109375" style="539" bestFit="1" customWidth="1"/>
    <col min="9476" max="9722" width="9.140625" style="539"/>
    <col min="9723" max="9724" width="18" style="539" customWidth="1"/>
    <col min="9725" max="9725" width="22.28515625" style="539" customWidth="1"/>
    <col min="9726" max="9726" width="20.140625" style="539" customWidth="1"/>
    <col min="9727" max="9727" width="17.28515625" style="539" customWidth="1"/>
    <col min="9728" max="9728" width="9.140625" style="539"/>
    <col min="9729" max="9729" width="13.85546875" style="539" bestFit="1" customWidth="1"/>
    <col min="9730" max="9730" width="16.7109375" style="539" bestFit="1" customWidth="1"/>
    <col min="9731" max="9731" width="12.7109375" style="539" bestFit="1" customWidth="1"/>
    <col min="9732" max="9978" width="9.140625" style="539"/>
    <col min="9979" max="9980" width="18" style="539" customWidth="1"/>
    <col min="9981" max="9981" width="22.28515625" style="539" customWidth="1"/>
    <col min="9982" max="9982" width="20.140625" style="539" customWidth="1"/>
    <col min="9983" max="9983" width="17.28515625" style="539" customWidth="1"/>
    <col min="9984" max="9984" width="9.140625" style="539"/>
    <col min="9985" max="9985" width="13.85546875" style="539" bestFit="1" customWidth="1"/>
    <col min="9986" max="9986" width="16.7109375" style="539" bestFit="1" customWidth="1"/>
    <col min="9987" max="9987" width="12.7109375" style="539" bestFit="1" customWidth="1"/>
    <col min="9988" max="10234" width="9.140625" style="539"/>
    <col min="10235" max="10236" width="18" style="539" customWidth="1"/>
    <col min="10237" max="10237" width="22.28515625" style="539" customWidth="1"/>
    <col min="10238" max="10238" width="20.140625" style="539" customWidth="1"/>
    <col min="10239" max="10239" width="17.28515625" style="539" customWidth="1"/>
    <col min="10240" max="10240" width="9.140625" style="539"/>
    <col min="10241" max="10241" width="13.85546875" style="539" bestFit="1" customWidth="1"/>
    <col min="10242" max="10242" width="16.7109375" style="539" bestFit="1" customWidth="1"/>
    <col min="10243" max="10243" width="12.7109375" style="539" bestFit="1" customWidth="1"/>
    <col min="10244" max="10490" width="9.140625" style="539"/>
    <col min="10491" max="10492" width="18" style="539" customWidth="1"/>
    <col min="10493" max="10493" width="22.28515625" style="539" customWidth="1"/>
    <col min="10494" max="10494" width="20.140625" style="539" customWidth="1"/>
    <col min="10495" max="10495" width="17.28515625" style="539" customWidth="1"/>
    <col min="10496" max="10496" width="9.140625" style="539"/>
    <col min="10497" max="10497" width="13.85546875" style="539" bestFit="1" customWidth="1"/>
    <col min="10498" max="10498" width="16.7109375" style="539" bestFit="1" customWidth="1"/>
    <col min="10499" max="10499" width="12.7109375" style="539" bestFit="1" customWidth="1"/>
    <col min="10500" max="10746" width="9.140625" style="539"/>
    <col min="10747" max="10748" width="18" style="539" customWidth="1"/>
    <col min="10749" max="10749" width="22.28515625" style="539" customWidth="1"/>
    <col min="10750" max="10750" width="20.140625" style="539" customWidth="1"/>
    <col min="10751" max="10751" width="17.28515625" style="539" customWidth="1"/>
    <col min="10752" max="10752" width="9.140625" style="539"/>
    <col min="10753" max="10753" width="13.85546875" style="539" bestFit="1" customWidth="1"/>
    <col min="10754" max="10754" width="16.7109375" style="539" bestFit="1" customWidth="1"/>
    <col min="10755" max="10755" width="12.7109375" style="539" bestFit="1" customWidth="1"/>
    <col min="10756" max="11002" width="9.140625" style="539"/>
    <col min="11003" max="11004" width="18" style="539" customWidth="1"/>
    <col min="11005" max="11005" width="22.28515625" style="539" customWidth="1"/>
    <col min="11006" max="11006" width="20.140625" style="539" customWidth="1"/>
    <col min="11007" max="11007" width="17.28515625" style="539" customWidth="1"/>
    <col min="11008" max="11008" width="9.140625" style="539"/>
    <col min="11009" max="11009" width="13.85546875" style="539" bestFit="1" customWidth="1"/>
    <col min="11010" max="11010" width="16.7109375" style="539" bestFit="1" customWidth="1"/>
    <col min="11011" max="11011" width="12.7109375" style="539" bestFit="1" customWidth="1"/>
    <col min="11012" max="11258" width="9.140625" style="539"/>
    <col min="11259" max="11260" width="18" style="539" customWidth="1"/>
    <col min="11261" max="11261" width="22.28515625" style="539" customWidth="1"/>
    <col min="11262" max="11262" width="20.140625" style="539" customWidth="1"/>
    <col min="11263" max="11263" width="17.28515625" style="539" customWidth="1"/>
    <col min="11264" max="11264" width="9.140625" style="539"/>
    <col min="11265" max="11265" width="13.85546875" style="539" bestFit="1" customWidth="1"/>
    <col min="11266" max="11266" width="16.7109375" style="539" bestFit="1" customWidth="1"/>
    <col min="11267" max="11267" width="12.7109375" style="539" bestFit="1" customWidth="1"/>
    <col min="11268" max="11514" width="9.140625" style="539"/>
    <col min="11515" max="11516" width="18" style="539" customWidth="1"/>
    <col min="11517" max="11517" width="22.28515625" style="539" customWidth="1"/>
    <col min="11518" max="11518" width="20.140625" style="539" customWidth="1"/>
    <col min="11519" max="11519" width="17.28515625" style="539" customWidth="1"/>
    <col min="11520" max="11520" width="9.140625" style="539"/>
    <col min="11521" max="11521" width="13.85546875" style="539" bestFit="1" customWidth="1"/>
    <col min="11522" max="11522" width="16.7109375" style="539" bestFit="1" customWidth="1"/>
    <col min="11523" max="11523" width="12.7109375" style="539" bestFit="1" customWidth="1"/>
    <col min="11524" max="11770" width="9.140625" style="539"/>
    <col min="11771" max="11772" width="18" style="539" customWidth="1"/>
    <col min="11773" max="11773" width="22.28515625" style="539" customWidth="1"/>
    <col min="11774" max="11774" width="20.140625" style="539" customWidth="1"/>
    <col min="11775" max="11775" width="17.28515625" style="539" customWidth="1"/>
    <col min="11776" max="11776" width="9.140625" style="539"/>
    <col min="11777" max="11777" width="13.85546875" style="539" bestFit="1" customWidth="1"/>
    <col min="11778" max="11778" width="16.7109375" style="539" bestFit="1" customWidth="1"/>
    <col min="11779" max="11779" width="12.7109375" style="539" bestFit="1" customWidth="1"/>
    <col min="11780" max="12026" width="9.140625" style="539"/>
    <col min="12027" max="12028" width="18" style="539" customWidth="1"/>
    <col min="12029" max="12029" width="22.28515625" style="539" customWidth="1"/>
    <col min="12030" max="12030" width="20.140625" style="539" customWidth="1"/>
    <col min="12031" max="12031" width="17.28515625" style="539" customWidth="1"/>
    <col min="12032" max="12032" width="9.140625" style="539"/>
    <col min="12033" max="12033" width="13.85546875" style="539" bestFit="1" customWidth="1"/>
    <col min="12034" max="12034" width="16.7109375" style="539" bestFit="1" customWidth="1"/>
    <col min="12035" max="12035" width="12.7109375" style="539" bestFit="1" customWidth="1"/>
    <col min="12036" max="12282" width="9.140625" style="539"/>
    <col min="12283" max="12284" width="18" style="539" customWidth="1"/>
    <col min="12285" max="12285" width="22.28515625" style="539" customWidth="1"/>
    <col min="12286" max="12286" width="20.140625" style="539" customWidth="1"/>
    <col min="12287" max="12287" width="17.28515625" style="539" customWidth="1"/>
    <col min="12288" max="12288" width="9.140625" style="539"/>
    <col min="12289" max="12289" width="13.85546875" style="539" bestFit="1" customWidth="1"/>
    <col min="12290" max="12290" width="16.7109375" style="539" bestFit="1" customWidth="1"/>
    <col min="12291" max="12291" width="12.7109375" style="539" bestFit="1" customWidth="1"/>
    <col min="12292" max="12538" width="9.140625" style="539"/>
    <col min="12539" max="12540" width="18" style="539" customWidth="1"/>
    <col min="12541" max="12541" width="22.28515625" style="539" customWidth="1"/>
    <col min="12542" max="12542" width="20.140625" style="539" customWidth="1"/>
    <col min="12543" max="12543" width="17.28515625" style="539" customWidth="1"/>
    <col min="12544" max="12544" width="9.140625" style="539"/>
    <col min="12545" max="12545" width="13.85546875" style="539" bestFit="1" customWidth="1"/>
    <col min="12546" max="12546" width="16.7109375" style="539" bestFit="1" customWidth="1"/>
    <col min="12547" max="12547" width="12.7109375" style="539" bestFit="1" customWidth="1"/>
    <col min="12548" max="12794" width="9.140625" style="539"/>
    <col min="12795" max="12796" width="18" style="539" customWidth="1"/>
    <col min="12797" max="12797" width="22.28515625" style="539" customWidth="1"/>
    <col min="12798" max="12798" width="20.140625" style="539" customWidth="1"/>
    <col min="12799" max="12799" width="17.28515625" style="539" customWidth="1"/>
    <col min="12800" max="12800" width="9.140625" style="539"/>
    <col min="12801" max="12801" width="13.85546875" style="539" bestFit="1" customWidth="1"/>
    <col min="12802" max="12802" width="16.7109375" style="539" bestFit="1" customWidth="1"/>
    <col min="12803" max="12803" width="12.7109375" style="539" bestFit="1" customWidth="1"/>
    <col min="12804" max="13050" width="9.140625" style="539"/>
    <col min="13051" max="13052" width="18" style="539" customWidth="1"/>
    <col min="13053" max="13053" width="22.28515625" style="539" customWidth="1"/>
    <col min="13054" max="13054" width="20.140625" style="539" customWidth="1"/>
    <col min="13055" max="13055" width="17.28515625" style="539" customWidth="1"/>
    <col min="13056" max="13056" width="9.140625" style="539"/>
    <col min="13057" max="13057" width="13.85546875" style="539" bestFit="1" customWidth="1"/>
    <col min="13058" max="13058" width="16.7109375" style="539" bestFit="1" customWidth="1"/>
    <col min="13059" max="13059" width="12.7109375" style="539" bestFit="1" customWidth="1"/>
    <col min="13060" max="13306" width="9.140625" style="539"/>
    <col min="13307" max="13308" width="18" style="539" customWidth="1"/>
    <col min="13309" max="13309" width="22.28515625" style="539" customWidth="1"/>
    <col min="13310" max="13310" width="20.140625" style="539" customWidth="1"/>
    <col min="13311" max="13311" width="17.28515625" style="539" customWidth="1"/>
    <col min="13312" max="13312" width="9.140625" style="539"/>
    <col min="13313" max="13313" width="13.85546875" style="539" bestFit="1" customWidth="1"/>
    <col min="13314" max="13314" width="16.7109375" style="539" bestFit="1" customWidth="1"/>
    <col min="13315" max="13315" width="12.7109375" style="539" bestFit="1" customWidth="1"/>
    <col min="13316" max="13562" width="9.140625" style="539"/>
    <col min="13563" max="13564" width="18" style="539" customWidth="1"/>
    <col min="13565" max="13565" width="22.28515625" style="539" customWidth="1"/>
    <col min="13566" max="13566" width="20.140625" style="539" customWidth="1"/>
    <col min="13567" max="13567" width="17.28515625" style="539" customWidth="1"/>
    <col min="13568" max="13568" width="9.140625" style="539"/>
    <col min="13569" max="13569" width="13.85546875" style="539" bestFit="1" customWidth="1"/>
    <col min="13570" max="13570" width="16.7109375" style="539" bestFit="1" customWidth="1"/>
    <col min="13571" max="13571" width="12.7109375" style="539" bestFit="1" customWidth="1"/>
    <col min="13572" max="13818" width="9.140625" style="539"/>
    <col min="13819" max="13820" width="18" style="539" customWidth="1"/>
    <col min="13821" max="13821" width="22.28515625" style="539" customWidth="1"/>
    <col min="13822" max="13822" width="20.140625" style="539" customWidth="1"/>
    <col min="13823" max="13823" width="17.28515625" style="539" customWidth="1"/>
    <col min="13824" max="13824" width="9.140625" style="539"/>
    <col min="13825" max="13825" width="13.85546875" style="539" bestFit="1" customWidth="1"/>
    <col min="13826" max="13826" width="16.7109375" style="539" bestFit="1" customWidth="1"/>
    <col min="13827" max="13827" width="12.7109375" style="539" bestFit="1" customWidth="1"/>
    <col min="13828" max="14074" width="9.140625" style="539"/>
    <col min="14075" max="14076" width="18" style="539" customWidth="1"/>
    <col min="14077" max="14077" width="22.28515625" style="539" customWidth="1"/>
    <col min="14078" max="14078" width="20.140625" style="539" customWidth="1"/>
    <col min="14079" max="14079" width="17.28515625" style="539" customWidth="1"/>
    <col min="14080" max="14080" width="9.140625" style="539"/>
    <col min="14081" max="14081" width="13.85546875" style="539" bestFit="1" customWidth="1"/>
    <col min="14082" max="14082" width="16.7109375" style="539" bestFit="1" customWidth="1"/>
    <col min="14083" max="14083" width="12.7109375" style="539" bestFit="1" customWidth="1"/>
    <col min="14084" max="14330" width="9.140625" style="539"/>
    <col min="14331" max="14332" width="18" style="539" customWidth="1"/>
    <col min="14333" max="14333" width="22.28515625" style="539" customWidth="1"/>
    <col min="14334" max="14334" width="20.140625" style="539" customWidth="1"/>
    <col min="14335" max="14335" width="17.28515625" style="539" customWidth="1"/>
    <col min="14336" max="14336" width="9.140625" style="539"/>
    <col min="14337" max="14337" width="13.85546875" style="539" bestFit="1" customWidth="1"/>
    <col min="14338" max="14338" width="16.7109375" style="539" bestFit="1" customWidth="1"/>
    <col min="14339" max="14339" width="12.7109375" style="539" bestFit="1" customWidth="1"/>
    <col min="14340" max="14586" width="9.140625" style="539"/>
    <col min="14587" max="14588" width="18" style="539" customWidth="1"/>
    <col min="14589" max="14589" width="22.28515625" style="539" customWidth="1"/>
    <col min="14590" max="14590" width="20.140625" style="539" customWidth="1"/>
    <col min="14591" max="14591" width="17.28515625" style="539" customWidth="1"/>
    <col min="14592" max="14592" width="9.140625" style="539"/>
    <col min="14593" max="14593" width="13.85546875" style="539" bestFit="1" customWidth="1"/>
    <col min="14594" max="14594" width="16.7109375" style="539" bestFit="1" customWidth="1"/>
    <col min="14595" max="14595" width="12.7109375" style="539" bestFit="1" customWidth="1"/>
    <col min="14596" max="14842" width="9.140625" style="539"/>
    <col min="14843" max="14844" width="18" style="539" customWidth="1"/>
    <col min="14845" max="14845" width="22.28515625" style="539" customWidth="1"/>
    <col min="14846" max="14846" width="20.140625" style="539" customWidth="1"/>
    <col min="14847" max="14847" width="17.28515625" style="539" customWidth="1"/>
    <col min="14848" max="14848" width="9.140625" style="539"/>
    <col min="14849" max="14849" width="13.85546875" style="539" bestFit="1" customWidth="1"/>
    <col min="14850" max="14850" width="16.7109375" style="539" bestFit="1" customWidth="1"/>
    <col min="14851" max="14851" width="12.7109375" style="539" bestFit="1" customWidth="1"/>
    <col min="14852" max="15098" width="9.140625" style="539"/>
    <col min="15099" max="15100" width="18" style="539" customWidth="1"/>
    <col min="15101" max="15101" width="22.28515625" style="539" customWidth="1"/>
    <col min="15102" max="15102" width="20.140625" style="539" customWidth="1"/>
    <col min="15103" max="15103" width="17.28515625" style="539" customWidth="1"/>
    <col min="15104" max="15104" width="9.140625" style="539"/>
    <col min="15105" max="15105" width="13.85546875" style="539" bestFit="1" customWidth="1"/>
    <col min="15106" max="15106" width="16.7109375" style="539" bestFit="1" customWidth="1"/>
    <col min="15107" max="15107" width="12.7109375" style="539" bestFit="1" customWidth="1"/>
    <col min="15108" max="15354" width="9.140625" style="539"/>
    <col min="15355" max="15356" width="18" style="539" customWidth="1"/>
    <col min="15357" max="15357" width="22.28515625" style="539" customWidth="1"/>
    <col min="15358" max="15358" width="20.140625" style="539" customWidth="1"/>
    <col min="15359" max="15359" width="17.28515625" style="539" customWidth="1"/>
    <col min="15360" max="15360" width="9.140625" style="539"/>
    <col min="15361" max="15361" width="13.85546875" style="539" bestFit="1" customWidth="1"/>
    <col min="15362" max="15362" width="16.7109375" style="539" bestFit="1" customWidth="1"/>
    <col min="15363" max="15363" width="12.7109375" style="539" bestFit="1" customWidth="1"/>
    <col min="15364" max="15610" width="9.140625" style="539"/>
    <col min="15611" max="15612" width="18" style="539" customWidth="1"/>
    <col min="15613" max="15613" width="22.28515625" style="539" customWidth="1"/>
    <col min="15614" max="15614" width="20.140625" style="539" customWidth="1"/>
    <col min="15615" max="15615" width="17.28515625" style="539" customWidth="1"/>
    <col min="15616" max="15616" width="9.140625" style="539"/>
    <col min="15617" max="15617" width="13.85546875" style="539" bestFit="1" customWidth="1"/>
    <col min="15618" max="15618" width="16.7109375" style="539" bestFit="1" customWidth="1"/>
    <col min="15619" max="15619" width="12.7109375" style="539" bestFit="1" customWidth="1"/>
    <col min="15620" max="15866" width="9.140625" style="539"/>
    <col min="15867" max="15868" width="18" style="539" customWidth="1"/>
    <col min="15869" max="15869" width="22.28515625" style="539" customWidth="1"/>
    <col min="15870" max="15870" width="20.140625" style="539" customWidth="1"/>
    <col min="15871" max="15871" width="17.28515625" style="539" customWidth="1"/>
    <col min="15872" max="15872" width="9.140625" style="539"/>
    <col min="15873" max="15873" width="13.85546875" style="539" bestFit="1" customWidth="1"/>
    <col min="15874" max="15874" width="16.7109375" style="539" bestFit="1" customWidth="1"/>
    <col min="15875" max="15875" width="12.7109375" style="539" bestFit="1" customWidth="1"/>
    <col min="15876" max="16122" width="9.140625" style="539"/>
    <col min="16123" max="16124" width="18" style="539" customWidth="1"/>
    <col min="16125" max="16125" width="22.28515625" style="539" customWidth="1"/>
    <col min="16126" max="16126" width="20.140625" style="539" customWidth="1"/>
    <col min="16127" max="16127" width="17.28515625" style="539" customWidth="1"/>
    <col min="16128" max="16128" width="9.140625" style="539"/>
    <col min="16129" max="16129" width="13.85546875" style="539" bestFit="1" customWidth="1"/>
    <col min="16130" max="16130" width="16.7109375" style="539" bestFit="1" customWidth="1"/>
    <col min="16131" max="16131" width="12.7109375" style="539" bestFit="1" customWidth="1"/>
    <col min="16132" max="16384" width="9.140625" style="539"/>
  </cols>
  <sheetData>
    <row r="4" spans="1:12" ht="15" thickBot="1" x14ac:dyDescent="0.25"/>
    <row r="5" spans="1:12" ht="30.75" customHeight="1" thickBot="1" x14ac:dyDescent="0.25">
      <c r="A5" s="726" t="s">
        <v>900</v>
      </c>
      <c r="B5" s="726"/>
      <c r="C5" s="726"/>
      <c r="D5" s="726"/>
      <c r="E5" s="727"/>
    </row>
    <row r="6" spans="1:12" ht="51.75" customHeight="1" thickBot="1" x14ac:dyDescent="0.25">
      <c r="A6" s="728"/>
      <c r="B6" s="729" t="s">
        <v>901</v>
      </c>
      <c r="C6" s="729" t="s">
        <v>902</v>
      </c>
      <c r="D6" s="729" t="s">
        <v>903</v>
      </c>
      <c r="E6" s="730"/>
    </row>
    <row r="7" spans="1:12" ht="23.25" customHeight="1" thickBot="1" x14ac:dyDescent="0.25">
      <c r="A7" s="728" t="s">
        <v>904</v>
      </c>
      <c r="B7" s="731">
        <v>10275</v>
      </c>
      <c r="C7" s="732">
        <v>10390.61131</v>
      </c>
      <c r="D7" s="732">
        <v>651.10440000000017</v>
      </c>
      <c r="E7"/>
      <c r="F7"/>
      <c r="G7"/>
      <c r="H7"/>
      <c r="I7"/>
      <c r="J7"/>
      <c r="K7"/>
      <c r="L7"/>
    </row>
    <row r="8" spans="1:12" ht="23.25" customHeight="1" thickBot="1" x14ac:dyDescent="0.25">
      <c r="A8" s="728" t="s">
        <v>905</v>
      </c>
      <c r="B8" s="731">
        <v>17832</v>
      </c>
      <c r="C8" s="732">
        <v>18085.18447</v>
      </c>
      <c r="D8" s="732">
        <v>1627.4529</v>
      </c>
      <c r="E8"/>
      <c r="F8"/>
      <c r="G8"/>
      <c r="H8"/>
      <c r="I8"/>
      <c r="J8"/>
      <c r="K8"/>
      <c r="L8"/>
    </row>
    <row r="9" spans="1:12" ht="25.5" customHeight="1" thickBot="1" x14ac:dyDescent="0.25">
      <c r="A9" s="728" t="s">
        <v>906</v>
      </c>
      <c r="B9" s="731">
        <v>26037</v>
      </c>
      <c r="C9" s="732">
        <v>25152.59765</v>
      </c>
      <c r="D9" s="732">
        <v>3267.4003499999999</v>
      </c>
      <c r="F9"/>
      <c r="G9"/>
      <c r="H9"/>
      <c r="I9"/>
      <c r="J9"/>
      <c r="K9"/>
      <c r="L9"/>
    </row>
    <row r="10" spans="1:12" ht="25.5" customHeight="1" thickBot="1" x14ac:dyDescent="0.25">
      <c r="A10" s="728" t="s">
        <v>907</v>
      </c>
      <c r="B10" s="731">
        <v>35681</v>
      </c>
      <c r="C10" s="732">
        <v>34225.206170000005</v>
      </c>
      <c r="D10" s="732">
        <v>5159.6260000000002</v>
      </c>
      <c r="F10"/>
      <c r="G10"/>
      <c r="H10"/>
      <c r="I10"/>
      <c r="J10"/>
      <c r="K10"/>
      <c r="L10"/>
    </row>
    <row r="11" spans="1:12" ht="23.25" customHeight="1" thickBot="1" x14ac:dyDescent="0.25">
      <c r="A11" s="728" t="s">
        <v>908</v>
      </c>
      <c r="B11" s="731">
        <v>45180</v>
      </c>
      <c r="C11" s="732">
        <v>41825.333509999997</v>
      </c>
      <c r="D11" s="732">
        <v>7609.8399400000008</v>
      </c>
      <c r="F11"/>
      <c r="G11"/>
      <c r="H11"/>
      <c r="I11"/>
      <c r="J11"/>
      <c r="K11"/>
      <c r="L11"/>
    </row>
    <row r="12" spans="1:12" ht="21.75" customHeight="1" thickBot="1" x14ac:dyDescent="0.25">
      <c r="A12" s="728" t="s">
        <v>909</v>
      </c>
      <c r="B12" s="731">
        <v>50827</v>
      </c>
      <c r="C12" s="732">
        <v>48075.645520000005</v>
      </c>
      <c r="D12" s="732">
        <v>9877.65157</v>
      </c>
      <c r="F12"/>
      <c r="G12"/>
      <c r="H12"/>
      <c r="I12"/>
      <c r="J12"/>
      <c r="K12"/>
      <c r="L12"/>
    </row>
    <row r="13" spans="1:12" ht="25.5" customHeight="1" thickBot="1" x14ac:dyDescent="0.25">
      <c r="A13" s="728" t="s">
        <v>910</v>
      </c>
      <c r="B13" s="731">
        <v>56590</v>
      </c>
      <c r="C13" s="732">
        <v>55664.33986</v>
      </c>
      <c r="D13" s="732">
        <v>12713.268769999999</v>
      </c>
      <c r="F13"/>
      <c r="G13"/>
      <c r="H13"/>
      <c r="I13"/>
      <c r="J13"/>
    </row>
    <row r="14" spans="1:12" ht="25.5" customHeight="1" thickBot="1" x14ac:dyDescent="0.25">
      <c r="A14" s="728" t="s">
        <v>911</v>
      </c>
      <c r="B14" s="731">
        <v>62462</v>
      </c>
      <c r="C14" s="732">
        <v>62211.240869999994</v>
      </c>
      <c r="D14" s="732">
        <v>15342.40949</v>
      </c>
      <c r="F14"/>
      <c r="G14"/>
      <c r="H14"/>
      <c r="I14"/>
      <c r="J14"/>
    </row>
    <row r="15" spans="1:12" ht="27" customHeight="1" thickBot="1" x14ac:dyDescent="0.25">
      <c r="A15" s="728" t="s">
        <v>912</v>
      </c>
      <c r="B15" s="731">
        <v>68369</v>
      </c>
      <c r="C15" s="732">
        <v>68947.967150000011</v>
      </c>
      <c r="D15" s="732">
        <v>18031.74957</v>
      </c>
      <c r="F15"/>
      <c r="G15"/>
      <c r="H15"/>
      <c r="I15"/>
      <c r="J15"/>
    </row>
    <row r="16" spans="1:12" ht="21.75" customHeight="1" thickBot="1" x14ac:dyDescent="0.25">
      <c r="A16" s="728" t="s">
        <v>913</v>
      </c>
      <c r="B16" s="731">
        <v>75363</v>
      </c>
      <c r="C16" s="732">
        <v>76476.464349999995</v>
      </c>
      <c r="D16" s="732">
        <v>21197.644260000001</v>
      </c>
    </row>
    <row r="17" spans="1:4" ht="20.25" customHeight="1" thickBot="1" x14ac:dyDescent="0.25">
      <c r="A17" s="728" t="s">
        <v>914</v>
      </c>
      <c r="B17" s="731">
        <v>80628</v>
      </c>
      <c r="C17" s="732">
        <v>83044.349010000005</v>
      </c>
      <c r="D17" s="732">
        <v>23567.054649999998</v>
      </c>
    </row>
    <row r="18" spans="1:4" ht="22.5" customHeight="1" thickBot="1" x14ac:dyDescent="0.25">
      <c r="A18" s="728" t="s">
        <v>915</v>
      </c>
      <c r="B18" s="731">
        <v>85695</v>
      </c>
      <c r="C18" s="732">
        <v>88512.188079999993</v>
      </c>
      <c r="D18" s="732">
        <v>26253.45206</v>
      </c>
    </row>
    <row r="19" spans="1:4" x14ac:dyDescent="0.2">
      <c r="C19" s="733"/>
    </row>
  </sheetData>
  <mergeCells count="1">
    <mergeCell ref="A5:D5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25</vt:i4>
      </vt:variant>
      <vt:variant>
        <vt:lpstr>Grafy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7" baseType="lpstr">
      <vt:lpstr>Súhrnná bilancia</vt:lpstr>
      <vt:lpstr>vývoj príjmov</vt:lpstr>
      <vt:lpstr>Príjmy rozdelenie</vt:lpstr>
      <vt:lpstr>Vývoj pohľadávok</vt:lpstr>
      <vt:lpstr>graf pohľadávky</vt:lpstr>
      <vt:lpstr>stav pohľ.podľa pob.12_14.1</vt:lpstr>
      <vt:lpstr>spôsoby vymáhania</vt:lpstr>
      <vt:lpstr>Opravné položky</vt:lpstr>
      <vt:lpstr>Exekučné návrhy</vt:lpstr>
      <vt:lpstr>Mandátna správa</vt:lpstr>
      <vt:lpstr>Vydané rozhodnutia SK </vt:lpstr>
      <vt:lpstr>Pohľadávky voči  ZZ</vt:lpstr>
      <vt:lpstr>Pohľadávky podľa pobočiek ZZ</vt:lpstr>
      <vt:lpstr>V delenie mesačne </vt:lpstr>
      <vt:lpstr>V po fondoch podrobne </vt:lpstr>
      <vt:lpstr>P a V hradené štátom</vt:lpstr>
      <vt:lpstr>zostatky na účtoch</vt:lpstr>
      <vt:lpstr>SF 2013 - 2014</vt:lpstr>
      <vt:lpstr>SF</vt:lpstr>
      <vt:lpstr>600</vt:lpstr>
      <vt:lpstr>700</vt:lpstr>
      <vt:lpstr>600 ústredie</vt:lpstr>
      <vt:lpstr>Úprava RR</vt:lpstr>
      <vt:lpstr>Hárok1</vt:lpstr>
      <vt:lpstr>Hárok2</vt:lpstr>
      <vt:lpstr>Graf SF</vt:lpstr>
      <vt:lpstr>'Úprava RR'!Názvy_tlače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ba-korsepova_m</dc:creator>
  <cp:lastModifiedBy>SP</cp:lastModifiedBy>
  <cp:lastPrinted>2015-02-06T07:47:33Z</cp:lastPrinted>
  <dcterms:created xsi:type="dcterms:W3CDTF">2007-11-13T07:23:54Z</dcterms:created>
  <dcterms:modified xsi:type="dcterms:W3CDTF">2015-02-12T14:26:21Z</dcterms:modified>
</cp:coreProperties>
</file>