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65" windowHeight="11085" activeTab="3"/>
  </bookViews>
  <sheets>
    <sheet name="V ZFNP rok 2011" sheetId="4" r:id="rId1"/>
    <sheet name="V ZFÚP rok 2011" sheetId="3" r:id="rId2"/>
    <sheet name="V ZFGP rok 2011" sheetId="1" r:id="rId3"/>
    <sheet name="V ZFPvN rok 2011" sheetId="2" r:id="rId4"/>
    <sheet name="600 pobočky rok 2011" sheetId="6" r:id="rId5"/>
    <sheet name="jednotlivé pobočky za rok 2011" sheetId="7" r:id="rId6"/>
    <sheet name="Hárok1" sheetId="5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col1" localSheetId="2">#REF!</definedName>
    <definedName name="_col1" localSheetId="0">#REF!</definedName>
    <definedName name="_col1" localSheetId="3">#REF!</definedName>
    <definedName name="_col1">#REF!</definedName>
    <definedName name="_col2" localSheetId="2">#REF!</definedName>
    <definedName name="_col2" localSheetId="0">#REF!</definedName>
    <definedName name="_col2" localSheetId="3">#REF!</definedName>
    <definedName name="_col2">#REF!</definedName>
    <definedName name="_col3" localSheetId="2">#REF!</definedName>
    <definedName name="_col3" localSheetId="0">#REF!</definedName>
    <definedName name="_col3" localSheetId="3">#REF!</definedName>
    <definedName name="_col3">#REF!</definedName>
    <definedName name="_col4" localSheetId="2">#REF!</definedName>
    <definedName name="_col4" localSheetId="0">#REF!</definedName>
    <definedName name="_col4" localSheetId="3">#REF!</definedName>
    <definedName name="_col4">#REF!</definedName>
    <definedName name="_col5" localSheetId="2">#REF!</definedName>
    <definedName name="_col5" localSheetId="0">#REF!</definedName>
    <definedName name="_col5" localSheetId="3">#REF!</definedName>
    <definedName name="_col5">#REF!</definedName>
    <definedName name="_col6" localSheetId="2">#REF!</definedName>
    <definedName name="_col6" localSheetId="0">#REF!</definedName>
    <definedName name="_col6" localSheetId="3">#REF!</definedName>
    <definedName name="_col6">#REF!</definedName>
    <definedName name="_col7" localSheetId="2">#REF!</definedName>
    <definedName name="_col7" localSheetId="0">#REF!</definedName>
    <definedName name="_col7" localSheetId="3">#REF!</definedName>
    <definedName name="_col7">#REF!</definedName>
    <definedName name="_col8" localSheetId="2">#REF!</definedName>
    <definedName name="_col8" localSheetId="0">#REF!</definedName>
    <definedName name="_col8" localSheetId="3">#REF!</definedName>
    <definedName name="_col8">#REF!</definedName>
    <definedName name="_xlnm._FilterDatabase" localSheetId="0" hidden="1">'V ZFNP rok 2011'!$A$8:$F$47</definedName>
    <definedName name="_xlnm._FilterDatabase" localSheetId="3" hidden="1">'V ZFPvN rok 2011'!$A$8:$D$47</definedName>
    <definedName name="BudgetTab" localSheetId="2">#REF!</definedName>
    <definedName name="BudgetTab" localSheetId="0">#REF!</definedName>
    <definedName name="BudgetTab" localSheetId="3">#REF!</definedName>
    <definedName name="BudgetTab">#REF!</definedName>
    <definedName name="Celk_Zisk">[1]Scénář!$E$15</definedName>
    <definedName name="CelkZisk" localSheetId="2">#REF!</definedName>
    <definedName name="CelkZisk" localSheetId="0">#REF!</definedName>
    <definedName name="CelkZisk" localSheetId="3">#REF!</definedName>
    <definedName name="CelkZisk">#REF!</definedName>
    <definedName name="datumK" localSheetId="2">#REF!</definedName>
    <definedName name="datumK" localSheetId="0">#REF!</definedName>
    <definedName name="datumK" localSheetId="3">#REF!</definedName>
    <definedName name="datumK">#REF!</definedName>
    <definedName name="Format" localSheetId="2">#REF!</definedName>
    <definedName name="Format" localSheetId="0">#REF!</definedName>
    <definedName name="Format" localSheetId="3">#REF!</definedName>
    <definedName name="Format">#REF!</definedName>
    <definedName name="HrubyZisk" localSheetId="2">#REF!</definedName>
    <definedName name="HrubyZisk" localSheetId="0">#REF!</definedName>
    <definedName name="HrubyZisk" localSheetId="3">#REF!</definedName>
    <definedName name="HrubyZisk">#REF!</definedName>
    <definedName name="_xlnm.Print_Titles" localSheetId="5">'jednotlivé pobočky za rok 2011'!$2:$14</definedName>
    <definedName name="NZbozi">[2]Test1!$B$89:$D$96</definedName>
    <definedName name="Opravy" localSheetId="2">#REF!</definedName>
    <definedName name="Opravy" localSheetId="0">#REF!</definedName>
    <definedName name="Opravy" localSheetId="3">#REF!</definedName>
    <definedName name="Opravy">#REF!</definedName>
    <definedName name="Ostatni" localSheetId="2">#REF!</definedName>
    <definedName name="Ostatni" localSheetId="0">#REF!</definedName>
    <definedName name="Ostatni" localSheetId="3">#REF!</definedName>
    <definedName name="Ostatni">#REF!</definedName>
    <definedName name="PocetNavstev" localSheetId="2">#REF!</definedName>
    <definedName name="PocetNavstev" localSheetId="0">#REF!</definedName>
    <definedName name="PocetNavstev" localSheetId="3">#REF!</definedName>
    <definedName name="PocetNavstev">#REF!</definedName>
    <definedName name="PrijemNaZakaz" localSheetId="2">#REF!</definedName>
    <definedName name="PrijemNaZakaz" localSheetId="0">#REF!</definedName>
    <definedName name="PrijemNaZakaz" localSheetId="3">#REF!</definedName>
    <definedName name="PrijemNaZakaz">#REF!</definedName>
    <definedName name="produkt" localSheetId="2">'[3]Budoucí hodnota - zadání'!#REF!</definedName>
    <definedName name="produkt" localSheetId="0">'[3]Budoucí hodnota - zadání'!#REF!</definedName>
    <definedName name="produkt" localSheetId="3">'[3]Budoucí hodnota - zadání'!#REF!</definedName>
    <definedName name="produkt">'[3]Budoucí hodnota - zadání'!#REF!</definedName>
    <definedName name="Reklama" localSheetId="2">#REF!</definedName>
    <definedName name="Reklama" localSheetId="0">#REF!</definedName>
    <definedName name="Reklama" localSheetId="3">#REF!</definedName>
    <definedName name="Reklama">#REF!</definedName>
    <definedName name="Revenue" localSheetId="2">#REF!</definedName>
    <definedName name="Revenue" localSheetId="0">#REF!</definedName>
    <definedName name="Revenue" localSheetId="3">#REF!</definedName>
    <definedName name="Revenue">#REF!</definedName>
    <definedName name="VydajeNaZakaz" localSheetId="2">#REF!</definedName>
    <definedName name="VydajeNaZakaz" localSheetId="0">#REF!</definedName>
    <definedName name="VydajeNaZakaz" localSheetId="3">#REF!</definedName>
    <definedName name="VydajeNaZakaz">#REF!</definedName>
    <definedName name="Vyplaty" localSheetId="2">#REF!</definedName>
    <definedName name="Vyplaty" localSheetId="0">#REF!</definedName>
    <definedName name="Vyplaty" localSheetId="3">#REF!</definedName>
    <definedName name="Vyplaty">#REF!</definedName>
    <definedName name="Zarizeni" localSheetId="2">#REF!</definedName>
    <definedName name="Zarizeni" localSheetId="0">#REF!</definedName>
    <definedName name="Zarizeni" localSheetId="3">#REF!</definedName>
    <definedName name="Zarizeni">#REF!</definedName>
    <definedName name="Zásoby" localSheetId="2">#REF!</definedName>
    <definedName name="Zásoby" localSheetId="0">#REF!</definedName>
    <definedName name="Zásoby" localSheetId="3">#REF!</definedName>
    <definedName name="Zásoby">#REF!</definedName>
    <definedName name="Zbozi">[4]Test1!$B$89:$D$96</definedName>
    <definedName name="ZboziN">[5]Test1!$B$89:$D$96</definedName>
  </definedNames>
  <calcPr calcId="144525"/>
</workbook>
</file>

<file path=xl/calcChain.xml><?xml version="1.0" encoding="utf-8"?>
<calcChain xmlns="http://schemas.openxmlformats.org/spreadsheetml/2006/main">
  <c r="K165" i="7" l="1"/>
  <c r="K166" i="7" s="1"/>
  <c r="J165" i="7"/>
  <c r="J166" i="7" s="1"/>
  <c r="H165" i="7"/>
  <c r="H166" i="7" s="1"/>
  <c r="F165" i="7"/>
  <c r="F166" i="7" s="1"/>
  <c r="E165" i="7"/>
  <c r="E166" i="7" s="1"/>
  <c r="K162" i="7"/>
  <c r="J162" i="7"/>
  <c r="I162" i="7"/>
  <c r="H162" i="7"/>
  <c r="F162" i="7"/>
  <c r="E162" i="7"/>
  <c r="M161" i="7"/>
  <c r="M162" i="7" s="1"/>
  <c r="G161" i="7"/>
  <c r="G162" i="7" s="1"/>
  <c r="D161" i="7"/>
  <c r="D162" i="7" s="1"/>
  <c r="C161" i="7"/>
  <c r="C162" i="7" s="1"/>
  <c r="K158" i="7"/>
  <c r="J158" i="7"/>
  <c r="I158" i="7"/>
  <c r="H158" i="7"/>
  <c r="F158" i="7"/>
  <c r="E158" i="7"/>
  <c r="M157" i="7"/>
  <c r="M158" i="7" s="1"/>
  <c r="G157" i="7"/>
  <c r="G158" i="7" s="1"/>
  <c r="D157" i="7"/>
  <c r="D158" i="7" s="1"/>
  <c r="C157" i="7"/>
  <c r="C158" i="7" s="1"/>
  <c r="K154" i="7"/>
  <c r="J154" i="7"/>
  <c r="I154" i="7"/>
  <c r="H154" i="7"/>
  <c r="F154" i="7"/>
  <c r="E154" i="7"/>
  <c r="M153" i="7"/>
  <c r="M154" i="7" s="1"/>
  <c r="G153" i="7"/>
  <c r="G154" i="7" s="1"/>
  <c r="D153" i="7"/>
  <c r="D154" i="7" s="1"/>
  <c r="C153" i="7"/>
  <c r="C154" i="7" s="1"/>
  <c r="K150" i="7"/>
  <c r="J150" i="7"/>
  <c r="I150" i="7"/>
  <c r="H150" i="7"/>
  <c r="F150" i="7"/>
  <c r="E150" i="7"/>
  <c r="M149" i="7"/>
  <c r="M150" i="7" s="1"/>
  <c r="G149" i="7"/>
  <c r="G150" i="7" s="1"/>
  <c r="D149" i="7"/>
  <c r="D150" i="7" s="1"/>
  <c r="C149" i="7"/>
  <c r="C150" i="7" s="1"/>
  <c r="N146" i="7"/>
  <c r="L146" i="7"/>
  <c r="J146" i="7"/>
  <c r="I146" i="7"/>
  <c r="H146" i="7"/>
  <c r="G146" i="7"/>
  <c r="F146" i="7"/>
  <c r="E146" i="7"/>
  <c r="D146" i="7"/>
  <c r="C146" i="7"/>
  <c r="N145" i="7"/>
  <c r="M145" i="7"/>
  <c r="M146" i="7" s="1"/>
  <c r="L145" i="7"/>
  <c r="K142" i="7"/>
  <c r="J142" i="7"/>
  <c r="I142" i="7"/>
  <c r="H142" i="7"/>
  <c r="F142" i="7"/>
  <c r="E142" i="7"/>
  <c r="M141" i="7"/>
  <c r="M142" i="7" s="1"/>
  <c r="G141" i="7"/>
  <c r="G142" i="7" s="1"/>
  <c r="D141" i="7"/>
  <c r="D142" i="7" s="1"/>
  <c r="C141" i="7"/>
  <c r="C142" i="7" s="1"/>
  <c r="K138" i="7"/>
  <c r="J138" i="7"/>
  <c r="I138" i="7"/>
  <c r="H138" i="7"/>
  <c r="F138" i="7"/>
  <c r="E138" i="7"/>
  <c r="M137" i="7"/>
  <c r="M138" i="7" s="1"/>
  <c r="G137" i="7"/>
  <c r="G138" i="7" s="1"/>
  <c r="D137" i="7"/>
  <c r="D138" i="7" s="1"/>
  <c r="C137" i="7"/>
  <c r="C138" i="7" s="1"/>
  <c r="J134" i="7"/>
  <c r="I134" i="7"/>
  <c r="H134" i="7"/>
  <c r="F134" i="7"/>
  <c r="E134" i="7"/>
  <c r="M133" i="7"/>
  <c r="M134" i="7" s="1"/>
  <c r="G133" i="7"/>
  <c r="G134" i="7" s="1"/>
  <c r="D133" i="7"/>
  <c r="D134" i="7" s="1"/>
  <c r="C133" i="7"/>
  <c r="C134" i="7" s="1"/>
  <c r="K130" i="7"/>
  <c r="J130" i="7"/>
  <c r="I130" i="7"/>
  <c r="H130" i="7"/>
  <c r="F130" i="7"/>
  <c r="E130" i="7"/>
  <c r="M129" i="7"/>
  <c r="M130" i="7" s="1"/>
  <c r="G129" i="7"/>
  <c r="G130" i="7" s="1"/>
  <c r="D129" i="7"/>
  <c r="D130" i="7" s="1"/>
  <c r="C129" i="7"/>
  <c r="C130" i="7" s="1"/>
  <c r="K126" i="7"/>
  <c r="J126" i="7"/>
  <c r="I126" i="7"/>
  <c r="H126" i="7"/>
  <c r="F126" i="7"/>
  <c r="E126" i="7"/>
  <c r="M125" i="7"/>
  <c r="M126" i="7" s="1"/>
  <c r="G125" i="7"/>
  <c r="G126" i="7" s="1"/>
  <c r="D125" i="7"/>
  <c r="D126" i="7" s="1"/>
  <c r="C125" i="7"/>
  <c r="C126" i="7" s="1"/>
  <c r="K122" i="7"/>
  <c r="J122" i="7"/>
  <c r="I122" i="7"/>
  <c r="H122" i="7"/>
  <c r="F122" i="7"/>
  <c r="E122" i="7"/>
  <c r="M121" i="7"/>
  <c r="M122" i="7" s="1"/>
  <c r="G121" i="7"/>
  <c r="G122" i="7" s="1"/>
  <c r="D121" i="7"/>
  <c r="D122" i="7" s="1"/>
  <c r="C121" i="7"/>
  <c r="C122" i="7" s="1"/>
  <c r="K118" i="7"/>
  <c r="J118" i="7"/>
  <c r="I118" i="7"/>
  <c r="H118" i="7"/>
  <c r="F118" i="7"/>
  <c r="E118" i="7"/>
  <c r="M117" i="7"/>
  <c r="M118" i="7" s="1"/>
  <c r="G117" i="7"/>
  <c r="G118" i="7" s="1"/>
  <c r="D117" i="7"/>
  <c r="D118" i="7" s="1"/>
  <c r="C117" i="7"/>
  <c r="C118" i="7" s="1"/>
  <c r="K114" i="7"/>
  <c r="J114" i="7"/>
  <c r="I114" i="7"/>
  <c r="H114" i="7"/>
  <c r="F114" i="7"/>
  <c r="E114" i="7"/>
  <c r="M113" i="7"/>
  <c r="M114" i="7" s="1"/>
  <c r="G113" i="7"/>
  <c r="G114" i="7" s="1"/>
  <c r="D113" i="7"/>
  <c r="D114" i="7" s="1"/>
  <c r="C113" i="7"/>
  <c r="C114" i="7" s="1"/>
  <c r="K110" i="7"/>
  <c r="J110" i="7"/>
  <c r="I110" i="7"/>
  <c r="H110" i="7"/>
  <c r="F110" i="7"/>
  <c r="E110" i="7"/>
  <c r="M109" i="7"/>
  <c r="M110" i="7" s="1"/>
  <c r="G109" i="7"/>
  <c r="G110" i="7" s="1"/>
  <c r="D109" i="7"/>
  <c r="D110" i="7" s="1"/>
  <c r="C109" i="7"/>
  <c r="C110" i="7" s="1"/>
  <c r="M106" i="7"/>
  <c r="J106" i="7"/>
  <c r="I106" i="7"/>
  <c r="H106" i="7"/>
  <c r="F106" i="7"/>
  <c r="E106" i="7"/>
  <c r="M105" i="7"/>
  <c r="G105" i="7"/>
  <c r="G106" i="7" s="1"/>
  <c r="D105" i="7"/>
  <c r="D106" i="7" s="1"/>
  <c r="C105" i="7"/>
  <c r="C106" i="7" s="1"/>
  <c r="K102" i="7"/>
  <c r="J102" i="7"/>
  <c r="I102" i="7"/>
  <c r="H102" i="7"/>
  <c r="F102" i="7"/>
  <c r="E102" i="7"/>
  <c r="M101" i="7"/>
  <c r="M102" i="7" s="1"/>
  <c r="G101" i="7"/>
  <c r="G102" i="7" s="1"/>
  <c r="D101" i="7"/>
  <c r="D102" i="7" s="1"/>
  <c r="C101" i="7"/>
  <c r="C102" i="7" s="1"/>
  <c r="J98" i="7"/>
  <c r="I98" i="7"/>
  <c r="H98" i="7"/>
  <c r="F98" i="7"/>
  <c r="E98" i="7"/>
  <c r="M97" i="7"/>
  <c r="M98" i="7" s="1"/>
  <c r="G97" i="7"/>
  <c r="G98" i="7" s="1"/>
  <c r="D97" i="7"/>
  <c r="D98" i="7" s="1"/>
  <c r="C97" i="7"/>
  <c r="C98" i="7" s="1"/>
  <c r="K94" i="7"/>
  <c r="J94" i="7"/>
  <c r="I94" i="7"/>
  <c r="H94" i="7"/>
  <c r="F94" i="7"/>
  <c r="E94" i="7"/>
  <c r="M93" i="7"/>
  <c r="M94" i="7" s="1"/>
  <c r="G93" i="7"/>
  <c r="G94" i="7" s="1"/>
  <c r="D93" i="7"/>
  <c r="D94" i="7" s="1"/>
  <c r="C93" i="7"/>
  <c r="M90" i="7"/>
  <c r="K90" i="7"/>
  <c r="J90" i="7"/>
  <c r="I90" i="7"/>
  <c r="H90" i="7"/>
  <c r="F90" i="7"/>
  <c r="E90" i="7"/>
  <c r="M89" i="7"/>
  <c r="G89" i="7"/>
  <c r="G90" i="7" s="1"/>
  <c r="D89" i="7"/>
  <c r="D90" i="7" s="1"/>
  <c r="C89" i="7"/>
  <c r="K86" i="7"/>
  <c r="J86" i="7"/>
  <c r="I86" i="7"/>
  <c r="H86" i="7"/>
  <c r="F86" i="7"/>
  <c r="E86" i="7"/>
  <c r="M85" i="7"/>
  <c r="M86" i="7" s="1"/>
  <c r="G85" i="7"/>
  <c r="G86" i="7" s="1"/>
  <c r="D85" i="7"/>
  <c r="D86" i="7" s="1"/>
  <c r="C85" i="7"/>
  <c r="C86" i="7" s="1"/>
  <c r="K82" i="7"/>
  <c r="J82" i="7"/>
  <c r="I82" i="7"/>
  <c r="H82" i="7"/>
  <c r="F82" i="7"/>
  <c r="E82" i="7"/>
  <c r="M81" i="7"/>
  <c r="M82" i="7" s="1"/>
  <c r="G81" i="7"/>
  <c r="G82" i="7" s="1"/>
  <c r="D81" i="7"/>
  <c r="D82" i="7" s="1"/>
  <c r="C81" i="7"/>
  <c r="C82" i="7" s="1"/>
  <c r="J78" i="7"/>
  <c r="I78" i="7"/>
  <c r="H78" i="7"/>
  <c r="F78" i="7"/>
  <c r="E78" i="7"/>
  <c r="M77" i="7"/>
  <c r="M78" i="7" s="1"/>
  <c r="G77" i="7"/>
  <c r="G78" i="7" s="1"/>
  <c r="D77" i="7"/>
  <c r="D78" i="7" s="1"/>
  <c r="C77" i="7"/>
  <c r="C78" i="7" s="1"/>
  <c r="K74" i="7"/>
  <c r="J74" i="7"/>
  <c r="I74" i="7"/>
  <c r="H74" i="7"/>
  <c r="F74" i="7"/>
  <c r="E74" i="7"/>
  <c r="M73" i="7"/>
  <c r="M74" i="7" s="1"/>
  <c r="G73" i="7"/>
  <c r="G74" i="7" s="1"/>
  <c r="D73" i="7"/>
  <c r="D74" i="7" s="1"/>
  <c r="C73" i="7"/>
  <c r="C74" i="7" s="1"/>
  <c r="K70" i="7"/>
  <c r="J70" i="7"/>
  <c r="I70" i="7"/>
  <c r="H70" i="7"/>
  <c r="F70" i="7"/>
  <c r="E70" i="7"/>
  <c r="M69" i="7"/>
  <c r="M70" i="7" s="1"/>
  <c r="G69" i="7"/>
  <c r="G70" i="7" s="1"/>
  <c r="D69" i="7"/>
  <c r="D70" i="7" s="1"/>
  <c r="C69" i="7"/>
  <c r="C70" i="7" s="1"/>
  <c r="M66" i="7"/>
  <c r="J66" i="7"/>
  <c r="I66" i="7"/>
  <c r="H66" i="7"/>
  <c r="F66" i="7"/>
  <c r="E66" i="7"/>
  <c r="M65" i="7"/>
  <c r="G65" i="7"/>
  <c r="G66" i="7" s="1"/>
  <c r="D65" i="7"/>
  <c r="D66" i="7" s="1"/>
  <c r="C65" i="7"/>
  <c r="C66" i="7" s="1"/>
  <c r="J62" i="7"/>
  <c r="I62" i="7"/>
  <c r="H62" i="7"/>
  <c r="F62" i="7"/>
  <c r="E62" i="7"/>
  <c r="M61" i="7"/>
  <c r="M62" i="7" s="1"/>
  <c r="G61" i="7"/>
  <c r="G62" i="7" s="1"/>
  <c r="D61" i="7"/>
  <c r="D62" i="7" s="1"/>
  <c r="C61" i="7"/>
  <c r="C62" i="7" s="1"/>
  <c r="K58" i="7"/>
  <c r="J58" i="7"/>
  <c r="I58" i="7"/>
  <c r="H58" i="7"/>
  <c r="F58" i="7"/>
  <c r="E58" i="7"/>
  <c r="M57" i="7"/>
  <c r="M58" i="7" s="1"/>
  <c r="G57" i="7"/>
  <c r="G58" i="7" s="1"/>
  <c r="D57" i="7"/>
  <c r="D58" i="7" s="1"/>
  <c r="C57" i="7"/>
  <c r="C58" i="7" s="1"/>
  <c r="K54" i="7"/>
  <c r="J54" i="7"/>
  <c r="I54" i="7"/>
  <c r="H54" i="7"/>
  <c r="F54" i="7"/>
  <c r="E54" i="7"/>
  <c r="M53" i="7"/>
  <c r="M54" i="7" s="1"/>
  <c r="G53" i="7"/>
  <c r="G54" i="7" s="1"/>
  <c r="D53" i="7"/>
  <c r="D54" i="7" s="1"/>
  <c r="C53" i="7"/>
  <c r="C54" i="7" s="1"/>
  <c r="K50" i="7"/>
  <c r="J50" i="7"/>
  <c r="I50" i="7"/>
  <c r="H50" i="7"/>
  <c r="F50" i="7"/>
  <c r="E50" i="7"/>
  <c r="M49" i="7"/>
  <c r="M50" i="7" s="1"/>
  <c r="G49" i="7"/>
  <c r="G50" i="7" s="1"/>
  <c r="D49" i="7"/>
  <c r="D50" i="7" s="1"/>
  <c r="C49" i="7"/>
  <c r="C50" i="7" s="1"/>
  <c r="M46" i="7"/>
  <c r="J46" i="7"/>
  <c r="I46" i="7"/>
  <c r="H46" i="7"/>
  <c r="F46" i="7"/>
  <c r="E46" i="7"/>
  <c r="M45" i="7"/>
  <c r="G45" i="7"/>
  <c r="G46" i="7" s="1"/>
  <c r="D45" i="7"/>
  <c r="D46" i="7" s="1"/>
  <c r="C45" i="7"/>
  <c r="C46" i="7" s="1"/>
  <c r="K42" i="7"/>
  <c r="J42" i="7"/>
  <c r="H42" i="7"/>
  <c r="F42" i="7"/>
  <c r="E42" i="7"/>
  <c r="D42" i="7"/>
  <c r="M41" i="7"/>
  <c r="M42" i="7" s="1"/>
  <c r="I41" i="7"/>
  <c r="I165" i="7" s="1"/>
  <c r="I166" i="7" s="1"/>
  <c r="G41" i="7"/>
  <c r="G42" i="7" s="1"/>
  <c r="D41" i="7"/>
  <c r="C41" i="7"/>
  <c r="N41" i="7" s="1"/>
  <c r="N42" i="7" s="1"/>
  <c r="M38" i="7"/>
  <c r="J38" i="7"/>
  <c r="I38" i="7"/>
  <c r="H38" i="7"/>
  <c r="F38" i="7"/>
  <c r="E38" i="7"/>
  <c r="M37" i="7"/>
  <c r="G37" i="7"/>
  <c r="G38" i="7" s="1"/>
  <c r="D37" i="7"/>
  <c r="D38" i="7" s="1"/>
  <c r="C37" i="7"/>
  <c r="C38" i="7" s="1"/>
  <c r="J34" i="7"/>
  <c r="I34" i="7"/>
  <c r="H34" i="7"/>
  <c r="F34" i="7"/>
  <c r="E34" i="7"/>
  <c r="M33" i="7"/>
  <c r="M34" i="7" s="1"/>
  <c r="G33" i="7"/>
  <c r="G34" i="7" s="1"/>
  <c r="D33" i="7"/>
  <c r="D34" i="7" s="1"/>
  <c r="C33" i="7"/>
  <c r="C34" i="7" s="1"/>
  <c r="K30" i="7"/>
  <c r="J30" i="7"/>
  <c r="I30" i="7"/>
  <c r="H30" i="7"/>
  <c r="F30" i="7"/>
  <c r="E30" i="7"/>
  <c r="M29" i="7"/>
  <c r="M30" i="7" s="1"/>
  <c r="G29" i="7"/>
  <c r="G30" i="7" s="1"/>
  <c r="D29" i="7"/>
  <c r="D30" i="7" s="1"/>
  <c r="C29" i="7"/>
  <c r="C30" i="7" s="1"/>
  <c r="K26" i="7"/>
  <c r="J26" i="7"/>
  <c r="I26" i="7"/>
  <c r="H26" i="7"/>
  <c r="F26" i="7"/>
  <c r="E26" i="7"/>
  <c r="M25" i="7"/>
  <c r="M26" i="7" s="1"/>
  <c r="G25" i="7"/>
  <c r="G26" i="7" s="1"/>
  <c r="D25" i="7"/>
  <c r="D26" i="7" s="1"/>
  <c r="C25" i="7"/>
  <c r="C26" i="7" s="1"/>
  <c r="K22" i="7"/>
  <c r="J22" i="7"/>
  <c r="I22" i="7"/>
  <c r="H22" i="7"/>
  <c r="F22" i="7"/>
  <c r="E22" i="7"/>
  <c r="M21" i="7"/>
  <c r="M22" i="7" s="1"/>
  <c r="G21" i="7"/>
  <c r="G22" i="7" s="1"/>
  <c r="D21" i="7"/>
  <c r="D22" i="7" s="1"/>
  <c r="C21" i="7"/>
  <c r="C22" i="7" s="1"/>
  <c r="K18" i="7"/>
  <c r="J18" i="7"/>
  <c r="I18" i="7"/>
  <c r="H18" i="7"/>
  <c r="F18" i="7"/>
  <c r="E18" i="7"/>
  <c r="M17" i="7"/>
  <c r="M165" i="7" s="1"/>
  <c r="M166" i="7" s="1"/>
  <c r="G17" i="7"/>
  <c r="G165" i="7" s="1"/>
  <c r="G166" i="7" s="1"/>
  <c r="D17" i="7"/>
  <c r="D165" i="7" s="1"/>
  <c r="D166" i="7" s="1"/>
  <c r="C17" i="7"/>
  <c r="C165" i="7" s="1"/>
  <c r="C166" i="7" s="1"/>
  <c r="J88" i="6"/>
  <c r="J87" i="6"/>
  <c r="I87" i="6"/>
  <c r="H87" i="6"/>
  <c r="H80" i="6" s="1"/>
  <c r="G87" i="6"/>
  <c r="J86" i="6"/>
  <c r="J85" i="6"/>
  <c r="J84" i="6"/>
  <c r="J83" i="6"/>
  <c r="J82" i="6"/>
  <c r="I81" i="6"/>
  <c r="J81" i="6" s="1"/>
  <c r="H81" i="6"/>
  <c r="G81" i="6"/>
  <c r="I80" i="6"/>
  <c r="J80" i="6" s="1"/>
  <c r="G80" i="6"/>
  <c r="J79" i="6"/>
  <c r="J78" i="6"/>
  <c r="J77" i="6"/>
  <c r="J76" i="6"/>
  <c r="J74" i="6"/>
  <c r="J73" i="6"/>
  <c r="J72" i="6"/>
  <c r="J71" i="6"/>
  <c r="J70" i="6"/>
  <c r="J69" i="6"/>
  <c r="I68" i="6"/>
  <c r="J68" i="6" s="1"/>
  <c r="H68" i="6"/>
  <c r="J67" i="6"/>
  <c r="J66" i="6"/>
  <c r="J65" i="6"/>
  <c r="J64" i="6"/>
  <c r="J63" i="6"/>
  <c r="I62" i="6"/>
  <c r="J62" i="6" s="1"/>
  <c r="H62" i="6"/>
  <c r="J61" i="6"/>
  <c r="J60" i="6"/>
  <c r="H59" i="6"/>
  <c r="G59" i="6"/>
  <c r="J57" i="6"/>
  <c r="J56" i="6"/>
  <c r="J55" i="6"/>
  <c r="I55" i="6"/>
  <c r="H55" i="6"/>
  <c r="G55" i="6"/>
  <c r="J54" i="6"/>
  <c r="J53" i="6"/>
  <c r="J52" i="6"/>
  <c r="J51" i="6"/>
  <c r="J50" i="6"/>
  <c r="I49" i="6"/>
  <c r="J49" i="6" s="1"/>
  <c r="H49" i="6"/>
  <c r="G49" i="6"/>
  <c r="G22" i="6" s="1"/>
  <c r="G12" i="6" s="1"/>
  <c r="I48" i="6"/>
  <c r="J48" i="6" s="1"/>
  <c r="H48" i="6"/>
  <c r="J47" i="6"/>
  <c r="J46" i="6"/>
  <c r="J45" i="6"/>
  <c r="I44" i="6"/>
  <c r="J44" i="6" s="1"/>
  <c r="H44" i="6"/>
  <c r="H43" i="6"/>
  <c r="G43" i="6"/>
  <c r="J42" i="6"/>
  <c r="J41" i="6"/>
  <c r="J40" i="6"/>
  <c r="J39" i="6"/>
  <c r="J38" i="6"/>
  <c r="I38" i="6"/>
  <c r="H38" i="6"/>
  <c r="J37" i="6"/>
  <c r="J36" i="6"/>
  <c r="J35" i="6"/>
  <c r="J34" i="6"/>
  <c r="J33" i="6"/>
  <c r="J32" i="6"/>
  <c r="I32" i="6"/>
  <c r="H32" i="6"/>
  <c r="G32" i="6"/>
  <c r="J31" i="6"/>
  <c r="I30" i="6"/>
  <c r="J30" i="6" s="1"/>
  <c r="H30" i="6"/>
  <c r="J29" i="6"/>
  <c r="J28" i="6"/>
  <c r="H27" i="6"/>
  <c r="G27" i="6"/>
  <c r="J26" i="6"/>
  <c r="J24" i="6"/>
  <c r="J23" i="6"/>
  <c r="I23" i="6"/>
  <c r="H23" i="6"/>
  <c r="G23" i="6"/>
  <c r="H22" i="6"/>
  <c r="J21" i="6"/>
  <c r="J18" i="6"/>
  <c r="J17" i="6"/>
  <c r="J16" i="6"/>
  <c r="J15" i="6"/>
  <c r="I15" i="6"/>
  <c r="H15" i="6"/>
  <c r="H13" i="6" s="1"/>
  <c r="H12" i="6" s="1"/>
  <c r="G15" i="6"/>
  <c r="J14" i="6"/>
  <c r="I13" i="6"/>
  <c r="J13" i="6" s="1"/>
  <c r="G13" i="6"/>
  <c r="I27" i="6" l="1"/>
  <c r="I43" i="6"/>
  <c r="J43" i="6" s="1"/>
  <c r="I59" i="6"/>
  <c r="J59" i="6" s="1"/>
  <c r="L17" i="7"/>
  <c r="N17" i="7"/>
  <c r="D18" i="7"/>
  <c r="L21" i="7"/>
  <c r="L22" i="7" s="1"/>
  <c r="N21" i="7"/>
  <c r="N22" i="7" s="1"/>
  <c r="L25" i="7"/>
  <c r="L26" i="7" s="1"/>
  <c r="N25" i="7"/>
  <c r="N26" i="7" s="1"/>
  <c r="L29" i="7"/>
  <c r="L30" i="7" s="1"/>
  <c r="N29" i="7"/>
  <c r="N30" i="7" s="1"/>
  <c r="L33" i="7"/>
  <c r="L34" i="7" s="1"/>
  <c r="N33" i="7"/>
  <c r="N34" i="7" s="1"/>
  <c r="C42" i="7"/>
  <c r="I42" i="7"/>
  <c r="L49" i="7"/>
  <c r="L50" i="7" s="1"/>
  <c r="N49" i="7"/>
  <c r="N50" i="7" s="1"/>
  <c r="L53" i="7"/>
  <c r="L54" i="7" s="1"/>
  <c r="N53" i="7"/>
  <c r="N54" i="7" s="1"/>
  <c r="L57" i="7"/>
  <c r="L58" i="7" s="1"/>
  <c r="N57" i="7"/>
  <c r="N58" i="7" s="1"/>
  <c r="L61" i="7"/>
  <c r="L62" i="7" s="1"/>
  <c r="N61" i="7"/>
  <c r="N62" i="7" s="1"/>
  <c r="L69" i="7"/>
  <c r="L70" i="7" s="1"/>
  <c r="N69" i="7"/>
  <c r="N70" i="7" s="1"/>
  <c r="L73" i="7"/>
  <c r="L74" i="7" s="1"/>
  <c r="N73" i="7"/>
  <c r="N74" i="7" s="1"/>
  <c r="L77" i="7"/>
  <c r="L78" i="7" s="1"/>
  <c r="N77" i="7"/>
  <c r="N78" i="7" s="1"/>
  <c r="C94" i="7"/>
  <c r="N93" i="7"/>
  <c r="N94" i="7" s="1"/>
  <c r="L93" i="7"/>
  <c r="L94" i="7" s="1"/>
  <c r="C18" i="7"/>
  <c r="G18" i="7"/>
  <c r="M18" i="7"/>
  <c r="L37" i="7"/>
  <c r="L38" i="7" s="1"/>
  <c r="N37" i="7"/>
  <c r="N38" i="7" s="1"/>
  <c r="L41" i="7"/>
  <c r="L42" i="7" s="1"/>
  <c r="L45" i="7"/>
  <c r="L46" i="7" s="1"/>
  <c r="N45" i="7"/>
  <c r="N46" i="7" s="1"/>
  <c r="L65" i="7"/>
  <c r="L66" i="7" s="1"/>
  <c r="N65" i="7"/>
  <c r="N66" i="7" s="1"/>
  <c r="L81" i="7"/>
  <c r="L82" i="7" s="1"/>
  <c r="N81" i="7"/>
  <c r="N82" i="7" s="1"/>
  <c r="L85" i="7"/>
  <c r="L86" i="7" s="1"/>
  <c r="N85" i="7"/>
  <c r="N86" i="7" s="1"/>
  <c r="N89" i="7"/>
  <c r="N90" i="7" s="1"/>
  <c r="L89" i="7"/>
  <c r="L90" i="7" s="1"/>
  <c r="C90" i="7"/>
  <c r="L97" i="7"/>
  <c r="L98" i="7" s="1"/>
  <c r="N97" i="7"/>
  <c r="N98" i="7" s="1"/>
  <c r="L109" i="7"/>
  <c r="L110" i="7" s="1"/>
  <c r="N109" i="7"/>
  <c r="N110" i="7" s="1"/>
  <c r="L113" i="7"/>
  <c r="L114" i="7" s="1"/>
  <c r="N113" i="7"/>
  <c r="N114" i="7" s="1"/>
  <c r="L117" i="7"/>
  <c r="L118" i="7" s="1"/>
  <c r="N117" i="7"/>
  <c r="N118" i="7" s="1"/>
  <c r="L121" i="7"/>
  <c r="L122" i="7" s="1"/>
  <c r="N121" i="7"/>
  <c r="N122" i="7" s="1"/>
  <c r="L125" i="7"/>
  <c r="L126" i="7" s="1"/>
  <c r="N125" i="7"/>
  <c r="N126" i="7" s="1"/>
  <c r="L129" i="7"/>
  <c r="L130" i="7" s="1"/>
  <c r="N129" i="7"/>
  <c r="N130" i="7" s="1"/>
  <c r="L133" i="7"/>
  <c r="L134" i="7" s="1"/>
  <c r="N133" i="7"/>
  <c r="N134" i="7" s="1"/>
  <c r="L101" i="7"/>
  <c r="L102" i="7" s="1"/>
  <c r="N101" i="7"/>
  <c r="N102" i="7" s="1"/>
  <c r="L105" i="7"/>
  <c r="L106" i="7" s="1"/>
  <c r="N105" i="7"/>
  <c r="N106" i="7" s="1"/>
  <c r="L137" i="7"/>
  <c r="L138" i="7" s="1"/>
  <c r="N137" i="7"/>
  <c r="N138" i="7" s="1"/>
  <c r="L141" i="7"/>
  <c r="L142" i="7" s="1"/>
  <c r="N141" i="7"/>
  <c r="N142" i="7" s="1"/>
  <c r="L149" i="7"/>
  <c r="L150" i="7" s="1"/>
  <c r="N149" i="7"/>
  <c r="N150" i="7" s="1"/>
  <c r="L153" i="7"/>
  <c r="L154" i="7" s="1"/>
  <c r="N153" i="7"/>
  <c r="N154" i="7" s="1"/>
  <c r="L157" i="7"/>
  <c r="L158" i="7" s="1"/>
  <c r="N157" i="7"/>
  <c r="N158" i="7" s="1"/>
  <c r="L161" i="7"/>
  <c r="L162" i="7" s="1"/>
  <c r="N161" i="7"/>
  <c r="N162" i="7" s="1"/>
  <c r="G51" i="2"/>
  <c r="C51" i="2"/>
  <c r="D51" i="2"/>
  <c r="E51" i="2"/>
  <c r="F51" i="2"/>
  <c r="H51" i="2"/>
  <c r="L165" i="7" l="1"/>
  <c r="L166" i="7" s="1"/>
  <c r="L18" i="7"/>
  <c r="N165" i="7"/>
  <c r="N166" i="7" s="1"/>
  <c r="N18" i="7"/>
  <c r="J27" i="6"/>
  <c r="I22" i="6"/>
  <c r="H49" i="4"/>
  <c r="G49" i="4"/>
  <c r="F49" i="4"/>
  <c r="D48" i="4"/>
  <c r="D50" i="4" s="1"/>
  <c r="C48" i="4"/>
  <c r="C50" i="4" s="1"/>
  <c r="B48" i="4"/>
  <c r="B50" i="4" s="1"/>
  <c r="H47" i="4"/>
  <c r="G47" i="4"/>
  <c r="F47" i="4"/>
  <c r="E47" i="4"/>
  <c r="H46" i="4"/>
  <c r="G46" i="4"/>
  <c r="F46" i="4"/>
  <c r="E46" i="4"/>
  <c r="H45" i="4"/>
  <c r="G45" i="4"/>
  <c r="F45" i="4"/>
  <c r="E45" i="4"/>
  <c r="H44" i="4"/>
  <c r="G44" i="4"/>
  <c r="F44" i="4"/>
  <c r="E44" i="4"/>
  <c r="H43" i="4"/>
  <c r="G43" i="4"/>
  <c r="F43" i="4"/>
  <c r="E43" i="4"/>
  <c r="H42" i="4"/>
  <c r="G42" i="4"/>
  <c r="F42" i="4"/>
  <c r="E42" i="4"/>
  <c r="H41" i="4"/>
  <c r="G41" i="4"/>
  <c r="F41" i="4"/>
  <c r="E41" i="4"/>
  <c r="H40" i="4"/>
  <c r="G40" i="4"/>
  <c r="F40" i="4"/>
  <c r="E40" i="4"/>
  <c r="H39" i="4"/>
  <c r="G39" i="4"/>
  <c r="F39" i="4"/>
  <c r="E39" i="4"/>
  <c r="H38" i="4"/>
  <c r="G38" i="4"/>
  <c r="F38" i="4"/>
  <c r="E38" i="4"/>
  <c r="H37" i="4"/>
  <c r="G37" i="4"/>
  <c r="F37" i="4"/>
  <c r="E37" i="4"/>
  <c r="H36" i="4"/>
  <c r="G36" i="4"/>
  <c r="F36" i="4"/>
  <c r="E36" i="4"/>
  <c r="H35" i="4"/>
  <c r="G35" i="4"/>
  <c r="F35" i="4"/>
  <c r="E35" i="4"/>
  <c r="H34" i="4"/>
  <c r="G34" i="4"/>
  <c r="F34" i="4"/>
  <c r="E34" i="4"/>
  <c r="H33" i="4"/>
  <c r="G33" i="4"/>
  <c r="F33" i="4"/>
  <c r="E33" i="4"/>
  <c r="H32" i="4"/>
  <c r="G32" i="4"/>
  <c r="F32" i="4"/>
  <c r="E32" i="4"/>
  <c r="H31" i="4"/>
  <c r="G31" i="4"/>
  <c r="F31" i="4"/>
  <c r="E31" i="4"/>
  <c r="H30" i="4"/>
  <c r="G30" i="4"/>
  <c r="F30" i="4"/>
  <c r="E30" i="4"/>
  <c r="H29" i="4"/>
  <c r="G29" i="4"/>
  <c r="F29" i="4"/>
  <c r="E29" i="4"/>
  <c r="H28" i="4"/>
  <c r="G28" i="4"/>
  <c r="F28" i="4"/>
  <c r="E28" i="4"/>
  <c r="H27" i="4"/>
  <c r="G27" i="4"/>
  <c r="F27" i="4"/>
  <c r="E27" i="4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J22" i="6" l="1"/>
  <c r="I12" i="6"/>
  <c r="J12" i="6" s="1"/>
  <c r="H50" i="4"/>
  <c r="F50" i="4"/>
  <c r="G50" i="4"/>
  <c r="E50" i="4"/>
  <c r="E48" i="4"/>
  <c r="G48" i="4"/>
  <c r="F48" i="4"/>
  <c r="H48" i="4"/>
  <c r="F50" i="2" l="1"/>
  <c r="F49" i="2"/>
  <c r="F47" i="2"/>
  <c r="F46" i="2"/>
  <c r="F45" i="2"/>
  <c r="F44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H48" i="3" l="1"/>
  <c r="G48" i="3"/>
  <c r="H47" i="3"/>
  <c r="G47" i="3"/>
  <c r="E47" i="3"/>
  <c r="H46" i="3"/>
  <c r="G46" i="3"/>
  <c r="E46" i="3"/>
  <c r="D45" i="3"/>
  <c r="G45" i="3" s="1"/>
  <c r="C45" i="3"/>
  <c r="H44" i="3"/>
  <c r="G44" i="3"/>
  <c r="E44" i="3"/>
  <c r="H43" i="3"/>
  <c r="G43" i="3"/>
  <c r="E43" i="3"/>
  <c r="H42" i="3"/>
  <c r="G42" i="3"/>
  <c r="E42" i="3"/>
  <c r="H41" i="3"/>
  <c r="G41" i="3"/>
  <c r="E41" i="3"/>
  <c r="H40" i="3"/>
  <c r="G40" i="3"/>
  <c r="B40" i="3"/>
  <c r="B45" i="3" s="1"/>
  <c r="B49" i="3" s="1"/>
  <c r="H39" i="3"/>
  <c r="G39" i="3"/>
  <c r="E39" i="3"/>
  <c r="H38" i="3"/>
  <c r="G38" i="3"/>
  <c r="E38" i="3"/>
  <c r="H37" i="3"/>
  <c r="G37" i="3"/>
  <c r="E37" i="3"/>
  <c r="H36" i="3"/>
  <c r="G36" i="3"/>
  <c r="E36" i="3"/>
  <c r="H35" i="3"/>
  <c r="G35" i="3"/>
  <c r="E35" i="3"/>
  <c r="H34" i="3"/>
  <c r="G34" i="3"/>
  <c r="E34" i="3"/>
  <c r="H33" i="3"/>
  <c r="G33" i="3"/>
  <c r="E33" i="3"/>
  <c r="H32" i="3"/>
  <c r="G32" i="3"/>
  <c r="E32" i="3"/>
  <c r="H31" i="3"/>
  <c r="G31" i="3"/>
  <c r="E31" i="3"/>
  <c r="H30" i="3"/>
  <c r="G30" i="3"/>
  <c r="E30" i="3"/>
  <c r="H29" i="3"/>
  <c r="G29" i="3"/>
  <c r="E29" i="3"/>
  <c r="H28" i="3"/>
  <c r="G28" i="3"/>
  <c r="E28" i="3"/>
  <c r="H27" i="3"/>
  <c r="G27" i="3"/>
  <c r="E27" i="3"/>
  <c r="H26" i="3"/>
  <c r="G26" i="3"/>
  <c r="E26" i="3"/>
  <c r="H25" i="3"/>
  <c r="G25" i="3"/>
  <c r="E25" i="3"/>
  <c r="H24" i="3"/>
  <c r="G24" i="3"/>
  <c r="E24" i="3"/>
  <c r="H23" i="3"/>
  <c r="G23" i="3"/>
  <c r="E23" i="3"/>
  <c r="H22" i="3"/>
  <c r="G22" i="3"/>
  <c r="E22" i="3"/>
  <c r="H21" i="3"/>
  <c r="G21" i="3"/>
  <c r="E21" i="3"/>
  <c r="H20" i="3"/>
  <c r="G20" i="3"/>
  <c r="E20" i="3"/>
  <c r="H19" i="3"/>
  <c r="G19" i="3"/>
  <c r="E19" i="3"/>
  <c r="H18" i="3"/>
  <c r="G18" i="3"/>
  <c r="E18" i="3"/>
  <c r="H17" i="3"/>
  <c r="G17" i="3"/>
  <c r="E17" i="3"/>
  <c r="H16" i="3"/>
  <c r="G16" i="3"/>
  <c r="E16" i="3"/>
  <c r="H15" i="3"/>
  <c r="G15" i="3"/>
  <c r="E15" i="3"/>
  <c r="H14" i="3"/>
  <c r="G14" i="3"/>
  <c r="E14" i="3"/>
  <c r="H13" i="3"/>
  <c r="G13" i="3"/>
  <c r="E13" i="3"/>
  <c r="H12" i="3"/>
  <c r="G12" i="3"/>
  <c r="E12" i="3"/>
  <c r="H11" i="3"/>
  <c r="G11" i="3"/>
  <c r="E11" i="3"/>
  <c r="H10" i="3"/>
  <c r="G10" i="3"/>
  <c r="E10" i="3"/>
  <c r="H9" i="3"/>
  <c r="G9" i="3"/>
  <c r="E9" i="3"/>
  <c r="E40" i="3" l="1"/>
  <c r="E45" i="3"/>
  <c r="H45" i="3"/>
  <c r="D49" i="3"/>
  <c r="H50" i="2"/>
  <c r="H49" i="2"/>
  <c r="G49" i="2"/>
  <c r="D48" i="2"/>
  <c r="C48" i="2"/>
  <c r="H47" i="2"/>
  <c r="G47" i="2"/>
  <c r="E47" i="2"/>
  <c r="H46" i="2"/>
  <c r="G46" i="2"/>
  <c r="E46" i="2"/>
  <c r="H45" i="2"/>
  <c r="G45" i="2"/>
  <c r="E45" i="2"/>
  <c r="H44" i="2"/>
  <c r="G44" i="2"/>
  <c r="E44" i="2"/>
  <c r="H43" i="2"/>
  <c r="G43" i="2"/>
  <c r="B43" i="2"/>
  <c r="H42" i="2"/>
  <c r="G42" i="2"/>
  <c r="E42" i="2"/>
  <c r="H41" i="2"/>
  <c r="G41" i="2"/>
  <c r="E41" i="2"/>
  <c r="H40" i="2"/>
  <c r="G40" i="2"/>
  <c r="E40" i="2"/>
  <c r="H39" i="2"/>
  <c r="G39" i="2"/>
  <c r="E39" i="2"/>
  <c r="H38" i="2"/>
  <c r="G38" i="2"/>
  <c r="E38" i="2"/>
  <c r="H37" i="2"/>
  <c r="G37" i="2"/>
  <c r="E37" i="2"/>
  <c r="H36" i="2"/>
  <c r="G36" i="2"/>
  <c r="E36" i="2"/>
  <c r="H35" i="2"/>
  <c r="G35" i="2"/>
  <c r="E35" i="2"/>
  <c r="H34" i="2"/>
  <c r="G34" i="2"/>
  <c r="E34" i="2"/>
  <c r="H33" i="2"/>
  <c r="G33" i="2"/>
  <c r="E33" i="2"/>
  <c r="H32" i="2"/>
  <c r="G32" i="2"/>
  <c r="E32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H19" i="2"/>
  <c r="G19" i="2"/>
  <c r="E19" i="2"/>
  <c r="H18" i="2"/>
  <c r="G18" i="2"/>
  <c r="E18" i="2"/>
  <c r="H17" i="2"/>
  <c r="G17" i="2"/>
  <c r="E17" i="2"/>
  <c r="H16" i="2"/>
  <c r="G16" i="2"/>
  <c r="E16" i="2"/>
  <c r="H15" i="2"/>
  <c r="G15" i="2"/>
  <c r="E15" i="2"/>
  <c r="H14" i="2"/>
  <c r="G14" i="2"/>
  <c r="E14" i="2"/>
  <c r="H13" i="2"/>
  <c r="G13" i="2"/>
  <c r="E13" i="2"/>
  <c r="H12" i="2"/>
  <c r="G12" i="2"/>
  <c r="E12" i="2"/>
  <c r="E43" i="2" l="1"/>
  <c r="F43" i="2"/>
  <c r="H48" i="2"/>
  <c r="H49" i="3"/>
  <c r="E49" i="3"/>
  <c r="G49" i="3"/>
  <c r="B48" i="2"/>
  <c r="B51" i="2" s="1"/>
  <c r="G48" i="2"/>
  <c r="F48" i="2" l="1"/>
  <c r="E48" i="2"/>
  <c r="G48" i="1" l="1"/>
  <c r="E48" i="1"/>
  <c r="D47" i="1"/>
  <c r="D49" i="1" s="1"/>
  <c r="C47" i="1"/>
  <c r="C49" i="1" s="1"/>
  <c r="B47" i="1"/>
  <c r="B49" i="1" s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G34" i="1"/>
  <c r="E34" i="1"/>
  <c r="G33" i="1"/>
  <c r="E33" i="1"/>
  <c r="G32" i="1"/>
  <c r="G31" i="1"/>
  <c r="E31" i="1"/>
  <c r="G30" i="1"/>
  <c r="E30" i="1"/>
  <c r="G29" i="1"/>
  <c r="E29" i="1"/>
  <c r="G28" i="1"/>
  <c r="E28" i="1"/>
  <c r="G27" i="1"/>
  <c r="E27" i="1"/>
  <c r="G26" i="1"/>
  <c r="G25" i="1"/>
  <c r="E25" i="1"/>
  <c r="G24" i="1"/>
  <c r="E24" i="1"/>
  <c r="G23" i="1"/>
  <c r="E23" i="1"/>
  <c r="G22" i="1"/>
  <c r="E22" i="1"/>
  <c r="G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49" i="1" l="1"/>
  <c r="E49" i="1"/>
  <c r="G47" i="1"/>
  <c r="E47" i="1"/>
</calcChain>
</file>

<file path=xl/sharedStrings.xml><?xml version="1.0" encoding="utf-8"?>
<sst xmlns="http://schemas.openxmlformats.org/spreadsheetml/2006/main" count="630" uniqueCount="300">
  <si>
    <t xml:space="preserve"> </t>
  </si>
  <si>
    <t xml:space="preserve">Plnenie rozpočtu výdavkov základného fondu garančného poistenia podľa jednotlivých pobočiek Sociálnej poisťovne </t>
  </si>
  <si>
    <t xml:space="preserve"> v roku 2011 a porovnanie s rokom  2010</t>
  </si>
  <si>
    <t>v tis. Eur</t>
  </si>
  <si>
    <t>Pobočka</t>
  </si>
  <si>
    <t>Schválený rozpočet na rok 2011</t>
  </si>
  <si>
    <t>Skutočnosť  rok 2010</t>
  </si>
  <si>
    <t>Skutočnosť  rok 2011</t>
  </si>
  <si>
    <t>% plnenia  3/1</t>
  </si>
  <si>
    <t>Rozdiel 3-2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</si>
  <si>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</si>
  <si>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</si>
  <si>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</si>
  <si>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</si>
  <si>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</si>
  <si>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</si>
  <si>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</si>
  <si>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</si>
  <si>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</si>
  <si>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</si>
  <si>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</si>
  <si>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</si>
  <si>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</si>
  <si>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</si>
  <si>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</si>
  <si>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</si>
  <si>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</si>
  <si>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</si>
  <si>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</si>
  <si>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</si>
  <si>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</si>
  <si>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</si>
  <si>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</si>
  <si>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</si>
  <si>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</si>
  <si>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</si>
  <si>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</si>
  <si>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 xml:space="preserve">Humenné 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</si>
  <si>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</si>
  <si>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</si>
  <si>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</si>
  <si>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</si>
  <si>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</si>
  <si>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</si>
  <si>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</si>
  <si>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</si>
  <si>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</si>
  <si>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</si>
  <si>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Úhrada príspevkov na SDS</t>
  </si>
  <si>
    <t>Celkom výdavky ZFGP</t>
  </si>
  <si>
    <t>.</t>
  </si>
  <si>
    <t xml:space="preserve">Plnenie rozpočtu výdavkov základného fondu poistenia  v nezamestnanosti  podľa jednotlivých  pobočiek  Sociálnej poisťovne </t>
  </si>
  <si>
    <t>v roku 2011  a porovnanie s rokom 2010</t>
  </si>
  <si>
    <t>Upravený rozpočet na rok 2011</t>
  </si>
  <si>
    <t>Skutočnosť rok 2010</t>
  </si>
  <si>
    <t>Skutočnosť rok 2011</t>
  </si>
  <si>
    <t>% plnenia 3/1</t>
  </si>
  <si>
    <t>Index 3/2</t>
  </si>
  <si>
    <t>Humenné</t>
  </si>
  <si>
    <t>Zúčtovanie dávok § 112</t>
  </si>
  <si>
    <t>Refundácia dávky v nezamestnanosti EÚ</t>
  </si>
  <si>
    <t>Výdavky ZFPvN</t>
  </si>
  <si>
    <t xml:space="preserve">Plnenie rozpočtu výdavkov základného fondu úrazového poistenia  podľa jednotlivých  pobočiek  Sociálnej poisťovne </t>
  </si>
  <si>
    <t>v roku 2011  a porovnanie s rokom  2010</t>
  </si>
  <si>
    <t>Ústredie renty</t>
  </si>
  <si>
    <t>Prevod do ZFSP</t>
  </si>
  <si>
    <t>Celkom výdavky ZFÚP</t>
  </si>
  <si>
    <t>Rozdiel 3-1</t>
  </si>
  <si>
    <t xml:space="preserve">Plnenie rozpočtu výdavkov základného fondu nemocenského poistenia  podľa jednotlivých  pobočiek  Sociálnej poisťovne </t>
  </si>
  <si>
    <t>v roku  2011  a porovnanie s rokom 2010</t>
  </si>
  <si>
    <t>Výdavky ZFNP</t>
  </si>
  <si>
    <t xml:space="preserve">Vyhodnotenie plnenia rozpisu rozpočtu bežných výdavkov (nákladov) správneho fondu Sociálnej poisťovne pobočky za rok 2011 </t>
  </si>
  <si>
    <t>v štruktúre funkčnej a ekonomickej klasifikácie</t>
  </si>
  <si>
    <t>v Eur</t>
  </si>
  <si>
    <t xml:space="preserve">Funkčná </t>
  </si>
  <si>
    <t>Ekonomická klasifikácia</t>
  </si>
  <si>
    <t>Text</t>
  </si>
  <si>
    <t>Cieľový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</si>
  <si>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</si>
  <si>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</si>
  <si>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</si>
  <si>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</si>
  <si>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</si>
  <si>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</si>
  <si>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</si>
  <si>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rozpis rozpočtu</t>
  </si>
  <si>
    <t>za mesiac</t>
  </si>
  <si>
    <t>za rok 2011</t>
  </si>
  <si>
    <t>plnenia</t>
  </si>
  <si>
    <t>oddiel/skupina/</t>
  </si>
  <si>
    <t>kategória</t>
  </si>
  <si>
    <t>ložka</t>
  </si>
  <si>
    <t>na rok 2011</t>
  </si>
  <si>
    <t xml:space="preserve"> december 2011</t>
  </si>
  <si>
    <t>(3 : 1)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</si>
  <si>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</si>
  <si>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</si>
  <si>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</si>
  <si>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</si>
  <si>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</si>
  <si>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</si>
  <si>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</si>
  <si>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</si>
  <si>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</si>
  <si>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</si>
  <si>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</si>
  <si>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</si>
  <si>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</si>
  <si>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</si>
  <si>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</si>
  <si>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</si>
  <si>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</si>
  <si>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</si>
  <si>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</si>
  <si>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</si>
  <si>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</si>
  <si>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</si>
  <si>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</si>
  <si>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</si>
  <si>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</si>
  <si>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</si>
  <si>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</si>
  <si>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</si>
  <si>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</si>
  <si>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</si>
  <si>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</si>
  <si>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</si>
  <si>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</si>
  <si>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</si>
  <si>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</si>
  <si>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</si>
  <si>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</si>
  <si>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</si>
  <si>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</si>
  <si>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</si>
  <si>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</si>
  <si>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</si>
  <si>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</si>
  <si>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</si>
  <si>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</si>
  <si>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</si>
  <si>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</si>
  <si>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</si>
  <si>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</si>
  <si>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</si>
  <si>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</si>
  <si>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</si>
  <si>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</si>
  <si>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</si>
  <si>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</si>
  <si>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</si>
  <si>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633011</t>
  </si>
  <si>
    <t xml:space="preserve"> Potraviny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</si>
  <si>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</si>
  <si>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</si>
  <si>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</si>
  <si>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</si>
  <si>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</si>
  <si>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</si>
  <si>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</si>
  <si>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</si>
  <si>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</si>
  <si>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</si>
  <si>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</si>
  <si>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</si>
  <si>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</si>
  <si>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</si>
  <si>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</si>
  <si>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</si>
  <si>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</si>
  <si>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</si>
  <si>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</si>
  <si>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</si>
  <si>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</si>
  <si>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</si>
  <si>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</si>
  <si>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</si>
  <si>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</si>
  <si>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</si>
  <si>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</si>
  <si>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</si>
  <si>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</si>
  <si>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</si>
  <si>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</si>
  <si>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</si>
  <si>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</si>
  <si>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</si>
  <si>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</si>
  <si>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</si>
  <si>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</si>
  <si>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</si>
  <si>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</si>
  <si>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</si>
  <si>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</si>
  <si>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</si>
  <si>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</si>
  <si>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</si>
  <si>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</si>
  <si>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</si>
  <si>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</si>
  <si>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</si>
  <si>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</si>
  <si>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</si>
  <si>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</si>
  <si>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</si>
  <si>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</si>
  <si>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</si>
  <si>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</si>
  <si>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</si>
  <si>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</si>
  <si>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</si>
  <si>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</si>
  <si>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</si>
  <si>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</si>
  <si>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</si>
  <si>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</si>
  <si>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</si>
  <si>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</si>
  <si>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</si>
  <si>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</si>
  <si>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</si>
  <si>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</si>
  <si>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</si>
  <si>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</si>
  <si>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</si>
  <si>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</si>
  <si>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</si>
  <si>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</si>
  <si>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</si>
  <si>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</si>
  <si>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</si>
  <si>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</si>
  <si>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</si>
  <si>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</si>
  <si>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</si>
  <si>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</si>
  <si>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</si>
  <si>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cieľového rozpisu rozpočtu Správneho fondu podľa jednotlivých pobočiek</t>
  </si>
  <si>
    <r>
      <t xml:space="preserve">Sociálnej poisťovne za rok 2011 </t>
    </r>
    <r>
      <rPr>
        <sz val="12"/>
        <rFont val="Arial"/>
        <family val="2"/>
        <charset val="238"/>
      </rPr>
      <t>(vrátane vysunutých pracovísk ústredia)</t>
    </r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</si>
  <si>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</si>
  <si>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</si>
  <si>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</si>
  <si>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</si>
  <si>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</si>
  <si>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 xml:space="preserve">6. Sociálne náklady (527+528 - 642)            </t>
  </si>
  <si>
    <t xml:space="preserve">7. Dane a poplatky (53)                         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</si>
  <si>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</si>
  <si>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</si>
  <si>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</si>
  <si>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</si>
  <si>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</si>
  <si>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</si>
  <si>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</si>
  <si>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</si>
  <si>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</si>
  <si>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</si>
  <si>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</si>
  <si>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</si>
  <si>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</si>
  <si>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  Bratislava</t>
  </si>
  <si>
    <t xml:space="preserve">   Rozpis rozpočtu 2011</t>
  </si>
  <si>
    <t xml:space="preserve">   Skutočnosť</t>
  </si>
  <si>
    <t xml:space="preserve">   % Plnenia z RR 2011</t>
  </si>
  <si>
    <t xml:space="preserve">   Trnava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</si>
  <si>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</si>
  <si>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</si>
  <si>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</si>
  <si>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</si>
  <si>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</si>
  <si>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</si>
  <si>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</si>
  <si>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</si>
  <si>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</si>
  <si>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</si>
  <si>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</si>
  <si>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</si>
  <si>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</si>
  <si>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</si>
  <si>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</si>
  <si>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</si>
  <si>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</si>
  <si>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</si>
  <si>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</si>
  <si>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</si>
  <si>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</si>
  <si>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</si>
  <si>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</si>
  <si>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</si>
  <si>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</si>
  <si>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</si>
  <si>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</si>
  <si>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</si>
  <si>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</si>
  <si>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</si>
  <si>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Košice-okolie</t>
  </si>
  <si>
    <t xml:space="preserve">   Michalovce</t>
  </si>
  <si>
    <t xml:space="preserve">   Rožňava</t>
  </si>
  <si>
    <t xml:space="preserve">   Spišská Nová Ves</t>
  </si>
  <si>
    <t xml:space="preserve">   Trebišov</t>
  </si>
  <si>
    <t xml:space="preserve">  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</si>
</sst>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S_k_-;\-* #,##0\ _S_k_-;_-* &quot;-&quot;\ _S_k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#,##0.00;\-#,##0.00;&quot; &quot;"/>
    <numFmt numFmtId="168" formatCode="#,##0_ ;\-#,##0\ "/>
    <numFmt numFmtId="169" formatCode="#,##0.00_ ;\-#,##0.00\ 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Courier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" fillId="0" borderId="0"/>
    <xf numFmtId="0" fontId="4" fillId="0" borderId="0"/>
    <xf numFmtId="0" fontId="1" fillId="0" borderId="0"/>
    <xf numFmtId="3" fontId="5" fillId="0" borderId="0"/>
    <xf numFmtId="3" fontId="6" fillId="0" borderId="0"/>
    <xf numFmtId="3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7" fillId="0" borderId="0">
      <protection locked="0"/>
    </xf>
    <xf numFmtId="166" fontId="7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2" fontId="9" fillId="0" borderId="0"/>
    <xf numFmtId="0" fontId="4" fillId="0" borderId="0"/>
    <xf numFmtId="4" fontId="1" fillId="0" borderId="0"/>
    <xf numFmtId="0" fontId="4" fillId="0" borderId="0"/>
    <xf numFmtId="0" fontId="4" fillId="0" borderId="0"/>
    <xf numFmtId="0" fontId="6" fillId="0" borderId="0"/>
    <xf numFmtId="49" fontId="10" fillId="0" borderId="0"/>
    <xf numFmtId="0" fontId="7" fillId="0" borderId="6">
      <protection locked="0"/>
    </xf>
    <xf numFmtId="0" fontId="11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29" fillId="0" borderId="0"/>
  </cellStyleXfs>
  <cellXfs count="26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3" fillId="0" borderId="2" xfId="1" applyFont="1" applyBorder="1"/>
    <xf numFmtId="3" fontId="3" fillId="0" borderId="3" xfId="1" applyNumberFormat="1" applyFont="1" applyBorder="1"/>
    <xf numFmtId="4" fontId="3" fillId="0" borderId="3" xfId="3" applyNumberFormat="1" applyFont="1" applyBorder="1"/>
    <xf numFmtId="3" fontId="3" fillId="0" borderId="4" xfId="3" applyNumberFormat="1" applyFont="1" applyBorder="1"/>
    <xf numFmtId="4" fontId="3" fillId="0" borderId="0" xfId="3" applyNumberFormat="1" applyFont="1" applyBorder="1"/>
    <xf numFmtId="3" fontId="3" fillId="0" borderId="2" xfId="3" applyNumberFormat="1" applyFont="1" applyBorder="1"/>
    <xf numFmtId="0" fontId="3" fillId="0" borderId="1" xfId="1" applyFont="1" applyBorder="1"/>
    <xf numFmtId="3" fontId="3" fillId="0" borderId="5" xfId="1" applyNumberFormat="1" applyFont="1" applyBorder="1"/>
    <xf numFmtId="4" fontId="3" fillId="0" borderId="1" xfId="3" applyNumberFormat="1" applyFont="1" applyBorder="1"/>
    <xf numFmtId="3" fontId="3" fillId="0" borderId="1" xfId="3" applyNumberFormat="1" applyFont="1" applyBorder="1"/>
    <xf numFmtId="3" fontId="3" fillId="0" borderId="1" xfId="1" applyNumberFormat="1" applyFont="1" applyBorder="1"/>
    <xf numFmtId="4" fontId="3" fillId="0" borderId="5" xfId="3" applyNumberFormat="1" applyFont="1" applyBorder="1"/>
    <xf numFmtId="4" fontId="3" fillId="0" borderId="3" xfId="3" applyNumberFormat="1" applyFont="1" applyBorder="1" applyAlignment="1">
      <alignment horizontal="center"/>
    </xf>
    <xf numFmtId="4" fontId="3" fillId="0" borderId="0" xfId="14" applyFont="1"/>
    <xf numFmtId="4" fontId="3" fillId="0" borderId="0" xfId="14" applyFont="1" applyAlignment="1">
      <alignment horizontal="right"/>
    </xf>
    <xf numFmtId="0" fontId="3" fillId="0" borderId="0" xfId="21" applyFont="1"/>
    <xf numFmtId="4" fontId="3" fillId="0" borderId="0" xfId="14" applyFont="1" applyAlignment="1"/>
    <xf numFmtId="4" fontId="3" fillId="0" borderId="0" xfId="14" applyFont="1" applyAlignment="1">
      <alignment horizontal="left"/>
    </xf>
    <xf numFmtId="4" fontId="2" fillId="0" borderId="0" xfId="14" applyFont="1" applyBorder="1" applyAlignment="1">
      <alignment horizontal="left"/>
    </xf>
    <xf numFmtId="4" fontId="3" fillId="0" borderId="0" xfId="14" applyFont="1" applyAlignment="1">
      <alignment horizontal="center"/>
    </xf>
    <xf numFmtId="4" fontId="3" fillId="0" borderId="0" xfId="14" applyFont="1" applyBorder="1" applyAlignment="1">
      <alignment horizontal="right"/>
    </xf>
    <xf numFmtId="4" fontId="3" fillId="0" borderId="4" xfId="14" applyFont="1" applyBorder="1" applyAlignment="1">
      <alignment horizontal="center" wrapText="1"/>
    </xf>
    <xf numFmtId="4" fontId="3" fillId="0" borderId="7" xfId="14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4" fontId="3" fillId="0" borderId="1" xfId="14" applyFont="1" applyBorder="1" applyAlignment="1">
      <alignment horizontal="center"/>
    </xf>
    <xf numFmtId="3" fontId="3" fillId="0" borderId="1" xfId="14" applyNumberFormat="1" applyFont="1" applyBorder="1" applyAlignment="1">
      <alignment horizontal="center"/>
    </xf>
    <xf numFmtId="0" fontId="3" fillId="0" borderId="1" xfId="21" applyFont="1" applyBorder="1" applyAlignment="1">
      <alignment horizontal="center"/>
    </xf>
    <xf numFmtId="4" fontId="3" fillId="0" borderId="2" xfId="14" applyFont="1" applyBorder="1" applyAlignment="1">
      <alignment horizontal="left"/>
    </xf>
    <xf numFmtId="3" fontId="3" fillId="0" borderId="2" xfId="22" applyNumberFormat="1" applyFont="1" applyBorder="1"/>
    <xf numFmtId="3" fontId="3" fillId="0" borderId="0" xfId="21" applyNumberFormat="1" applyFont="1"/>
    <xf numFmtId="4" fontId="3" fillId="0" borderId="4" xfId="3" applyNumberFormat="1" applyFont="1" applyBorder="1"/>
    <xf numFmtId="3" fontId="3" fillId="0" borderId="4" xfId="14" applyNumberFormat="1" applyFont="1" applyBorder="1"/>
    <xf numFmtId="3" fontId="3" fillId="0" borderId="2" xfId="14" applyNumberFormat="1" applyFont="1" applyBorder="1" applyAlignment="1">
      <alignment horizontal="right"/>
    </xf>
    <xf numFmtId="4" fontId="3" fillId="0" borderId="2" xfId="3" applyNumberFormat="1" applyFont="1" applyBorder="1"/>
    <xf numFmtId="3" fontId="3" fillId="0" borderId="2" xfId="14" applyNumberFormat="1" applyFont="1" applyBorder="1"/>
    <xf numFmtId="4" fontId="3" fillId="0" borderId="1" xfId="14" applyFont="1" applyBorder="1" applyAlignment="1">
      <alignment horizontal="left"/>
    </xf>
    <xf numFmtId="3" fontId="3" fillId="0" borderId="1" xfId="22" applyNumberFormat="1" applyFont="1" applyBorder="1"/>
    <xf numFmtId="3" fontId="3" fillId="0" borderId="1" xfId="14" applyNumberFormat="1" applyFont="1" applyBorder="1"/>
    <xf numFmtId="4" fontId="3" fillId="0" borderId="8" xfId="14" applyFont="1" applyBorder="1" applyAlignment="1">
      <alignment horizontal="left" wrapText="1"/>
    </xf>
    <xf numFmtId="3" fontId="3" fillId="0" borderId="8" xfId="22" applyNumberFormat="1" applyFont="1" applyBorder="1"/>
    <xf numFmtId="4" fontId="3" fillId="0" borderId="8" xfId="14" applyFont="1" applyBorder="1" applyAlignment="1">
      <alignment wrapText="1"/>
    </xf>
    <xf numFmtId="4" fontId="3" fillId="0" borderId="1" xfId="3" applyNumberFormat="1" applyFont="1" applyBorder="1" applyAlignment="1">
      <alignment horizontal="center"/>
    </xf>
    <xf numFmtId="4" fontId="3" fillId="0" borderId="8" xfId="14" applyFont="1" applyBorder="1"/>
    <xf numFmtId="3" fontId="3" fillId="0" borderId="8" xfId="14" applyNumberFormat="1" applyFont="1" applyBorder="1"/>
    <xf numFmtId="0" fontId="3" fillId="0" borderId="0" xfId="23" applyFont="1"/>
    <xf numFmtId="0" fontId="3" fillId="0" borderId="0" xfId="24" applyFont="1"/>
    <xf numFmtId="4" fontId="3" fillId="0" borderId="4" xfId="14" applyFont="1" applyBorder="1" applyAlignment="1">
      <alignment horizontal="center"/>
    </xf>
    <xf numFmtId="4" fontId="3" fillId="0" borderId="1" xfId="14" applyFont="1" applyBorder="1" applyAlignment="1">
      <alignment horizontal="center" wrapText="1"/>
    </xf>
    <xf numFmtId="4" fontId="3" fillId="0" borderId="1" xfId="14" applyFont="1" applyFill="1" applyBorder="1" applyAlignment="1">
      <alignment horizontal="center" wrapText="1"/>
    </xf>
    <xf numFmtId="0" fontId="3" fillId="0" borderId="1" xfId="24" applyFont="1" applyBorder="1" applyAlignment="1">
      <alignment horizontal="center"/>
    </xf>
    <xf numFmtId="3" fontId="3" fillId="0" borderId="0" xfId="24" applyNumberFormat="1" applyFont="1"/>
    <xf numFmtId="3" fontId="3" fillId="0" borderId="4" xfId="24" applyNumberFormat="1" applyFont="1" applyBorder="1"/>
    <xf numFmtId="3" fontId="3" fillId="0" borderId="2" xfId="24" applyNumberFormat="1" applyFont="1" applyBorder="1"/>
    <xf numFmtId="3" fontId="3" fillId="0" borderId="8" xfId="24" applyNumberFormat="1" applyFont="1" applyBorder="1"/>
    <xf numFmtId="3" fontId="3" fillId="0" borderId="1" xfId="24" applyNumberFormat="1" applyFont="1" applyBorder="1"/>
    <xf numFmtId="4" fontId="3" fillId="0" borderId="1" xfId="3" applyNumberFormat="1" applyFont="1" applyBorder="1" applyAlignment="1">
      <alignment horizontal="right"/>
    </xf>
    <xf numFmtId="3" fontId="3" fillId="0" borderId="3" xfId="3" applyNumberFormat="1" applyFont="1" applyBorder="1"/>
    <xf numFmtId="3" fontId="3" fillId="0" borderId="3" xfId="3" applyNumberFormat="1" applyFont="1" applyBorder="1" applyAlignment="1">
      <alignment horizontal="right"/>
    </xf>
    <xf numFmtId="3" fontId="3" fillId="0" borderId="1" xfId="3" applyNumberFormat="1" applyFont="1" applyBorder="1" applyAlignment="1">
      <alignment horizontal="right"/>
    </xf>
    <xf numFmtId="3" fontId="3" fillId="0" borderId="5" xfId="3" applyNumberFormat="1" applyFont="1" applyBorder="1" applyAlignment="1">
      <alignment horizontal="right"/>
    </xf>
    <xf numFmtId="4" fontId="3" fillId="0" borderId="0" xfId="14" applyFont="1" applyFill="1"/>
    <xf numFmtId="4" fontId="3" fillId="0" borderId="0" xfId="14" applyFont="1" applyFill="1" applyAlignment="1"/>
    <xf numFmtId="4" fontId="3" fillId="0" borderId="0" xfId="14" applyFont="1" applyFill="1" applyAlignment="1">
      <alignment horizontal="left"/>
    </xf>
    <xf numFmtId="4" fontId="2" fillId="0" borderId="0" xfId="14" applyFont="1" applyBorder="1"/>
    <xf numFmtId="4" fontId="3" fillId="0" borderId="0" xfId="14" applyFont="1" applyFill="1" applyAlignment="1">
      <alignment horizontal="center"/>
    </xf>
    <xf numFmtId="4" fontId="3" fillId="0" borderId="1" xfId="14" quotePrefix="1" applyFont="1" applyBorder="1" applyAlignment="1">
      <alignment horizontal="center" wrapText="1"/>
    </xf>
    <xf numFmtId="3" fontId="3" fillId="0" borderId="1" xfId="14" applyNumberFormat="1" applyFont="1" applyFill="1" applyBorder="1" applyAlignment="1">
      <alignment horizontal="center"/>
    </xf>
    <xf numFmtId="0" fontId="3" fillId="0" borderId="1" xfId="23" applyFont="1" applyBorder="1" applyAlignment="1">
      <alignment horizontal="center"/>
    </xf>
    <xf numFmtId="0" fontId="3" fillId="0" borderId="1" xfId="25" applyFont="1" applyBorder="1" applyAlignment="1">
      <alignment horizontal="center"/>
    </xf>
    <xf numFmtId="3" fontId="3" fillId="0" borderId="0" xfId="25" applyNumberFormat="1" applyFont="1"/>
    <xf numFmtId="4" fontId="3" fillId="0" borderId="3" xfId="1" applyNumberFormat="1" applyFont="1" applyBorder="1"/>
    <xf numFmtId="3" fontId="3" fillId="0" borderId="8" xfId="3" applyNumberFormat="1" applyFont="1" applyBorder="1"/>
    <xf numFmtId="4" fontId="3" fillId="0" borderId="1" xfId="1" applyNumberFormat="1" applyFont="1" applyBorder="1"/>
    <xf numFmtId="0" fontId="3" fillId="0" borderId="0" xfId="23" applyFont="1" applyFill="1"/>
    <xf numFmtId="0" fontId="1" fillId="0" borderId="0" xfId="26"/>
    <xf numFmtId="0" fontId="14" fillId="0" borderId="0" xfId="26" applyFont="1" applyAlignment="1">
      <alignment horizontal="right"/>
    </xf>
    <xf numFmtId="0" fontId="15" fillId="0" borderId="0" xfId="26" applyFont="1" applyAlignment="1">
      <alignment horizontal="centerContinuous"/>
    </xf>
    <xf numFmtId="0" fontId="16" fillId="0" borderId="0" xfId="26" applyFont="1" applyAlignment="1">
      <alignment horizontal="centerContinuous"/>
    </xf>
    <xf numFmtId="0" fontId="1" fillId="0" borderId="0" xfId="26" applyAlignment="1">
      <alignment horizontal="centerContinuous"/>
    </xf>
    <xf numFmtId="0" fontId="17" fillId="0" borderId="0" xfId="26" applyFont="1" applyAlignment="1">
      <alignment horizontal="centerContinuous"/>
    </xf>
    <xf numFmtId="0" fontId="18" fillId="0" borderId="0" xfId="26" applyFont="1"/>
    <xf numFmtId="0" fontId="18" fillId="0" borderId="0" xfId="26" applyFont="1" applyAlignment="1">
      <alignment horizontal="right"/>
    </xf>
    <xf numFmtId="0" fontId="19" fillId="0" borderId="0" xfId="26" applyFont="1" applyAlignment="1">
      <alignment horizontal="right"/>
    </xf>
    <xf numFmtId="0" fontId="20" fillId="0" borderId="9" xfId="26" applyFont="1" applyBorder="1" applyAlignment="1">
      <alignment horizontal="center"/>
    </xf>
    <xf numFmtId="0" fontId="21" fillId="0" borderId="10" xfId="26" applyFont="1" applyBorder="1" applyAlignment="1">
      <alignment horizontal="centerContinuous"/>
    </xf>
    <xf numFmtId="0" fontId="21" fillId="0" borderId="11" xfId="26" applyFont="1" applyBorder="1" applyAlignment="1">
      <alignment horizontal="centerContinuous"/>
    </xf>
    <xf numFmtId="0" fontId="21" fillId="0" borderId="12" xfId="26" applyFont="1" applyBorder="1" applyAlignment="1">
      <alignment horizontal="centerContinuous"/>
    </xf>
    <xf numFmtId="0" fontId="21" fillId="0" borderId="13" xfId="26" applyFont="1" applyBorder="1" applyAlignment="1">
      <alignment horizontal="center"/>
    </xf>
    <xf numFmtId="0" fontId="21" fillId="0" borderId="13" xfId="26" applyFont="1" applyFill="1" applyBorder="1" applyAlignment="1">
      <alignment horizontal="center"/>
    </xf>
    <xf numFmtId="0" fontId="20" fillId="0" borderId="14" xfId="26" applyFont="1" applyBorder="1" applyAlignment="1">
      <alignment horizontal="center"/>
    </xf>
    <xf numFmtId="0" fontId="21" fillId="0" borderId="15" xfId="26" applyFont="1" applyBorder="1" applyAlignment="1">
      <alignment horizontal="center"/>
    </xf>
    <xf numFmtId="0" fontId="21" fillId="0" borderId="16" xfId="26" applyFont="1" applyBorder="1"/>
    <xf numFmtId="0" fontId="21" fillId="0" borderId="4" xfId="26" applyFont="1" applyBorder="1" applyAlignment="1">
      <alignment horizontal="center"/>
    </xf>
    <xf numFmtId="0" fontId="21" fillId="0" borderId="17" xfId="26" applyFont="1" applyBorder="1" applyAlignment="1"/>
    <xf numFmtId="0" fontId="21" fillId="0" borderId="17" xfId="26" applyFont="1" applyBorder="1"/>
    <xf numFmtId="0" fontId="21" fillId="0" borderId="17" xfId="26" applyFont="1" applyBorder="1" applyAlignment="1">
      <alignment horizontal="center"/>
    </xf>
    <xf numFmtId="0" fontId="21" fillId="0" borderId="17" xfId="26" applyFont="1" applyFill="1" applyBorder="1" applyAlignment="1">
      <alignment horizontal="center"/>
    </xf>
    <xf numFmtId="0" fontId="1" fillId="0" borderId="18" xfId="26" applyBorder="1" applyAlignment="1">
      <alignment horizontal="center"/>
    </xf>
    <xf numFmtId="0" fontId="21" fillId="0" borderId="15" xfId="26" applyFont="1" applyBorder="1"/>
    <xf numFmtId="0" fontId="21" fillId="0" borderId="17" xfId="26" applyFont="1" applyBorder="1" applyAlignment="1">
      <alignment horizontal="left"/>
    </xf>
    <xf numFmtId="0" fontId="21" fillId="0" borderId="18" xfId="26" applyFont="1" applyBorder="1"/>
    <xf numFmtId="0" fontId="20" fillId="0" borderId="17" xfId="26" applyFont="1" applyBorder="1" applyAlignment="1">
      <alignment horizontal="center"/>
    </xf>
    <xf numFmtId="0" fontId="20" fillId="0" borderId="17" xfId="26" applyFont="1" applyFill="1" applyBorder="1" applyAlignment="1">
      <alignment horizontal="center"/>
    </xf>
    <xf numFmtId="0" fontId="19" fillId="0" borderId="17" xfId="26" applyFont="1" applyBorder="1" applyAlignment="1">
      <alignment horizontal="center"/>
    </xf>
    <xf numFmtId="0" fontId="21" fillId="0" borderId="19" xfId="26" applyFont="1" applyBorder="1"/>
    <xf numFmtId="0" fontId="21" fillId="0" borderId="20" xfId="26" applyFont="1" applyBorder="1"/>
    <xf numFmtId="0" fontId="21" fillId="0" borderId="21" xfId="26" applyFont="1" applyBorder="1" applyAlignment="1">
      <alignment horizontal="left"/>
    </xf>
    <xf numFmtId="0" fontId="21" fillId="0" borderId="21" xfId="26" applyFont="1" applyBorder="1"/>
    <xf numFmtId="0" fontId="20" fillId="0" borderId="21" xfId="26" applyFont="1" applyBorder="1" applyAlignment="1">
      <alignment horizontal="center"/>
    </xf>
    <xf numFmtId="0" fontId="22" fillId="0" borderId="21" xfId="26" applyFont="1" applyFill="1" applyBorder="1" applyAlignment="1">
      <alignment horizontal="center"/>
    </xf>
    <xf numFmtId="0" fontId="20" fillId="0" borderId="21" xfId="26" applyFont="1" applyFill="1" applyBorder="1" applyAlignment="1">
      <alignment horizontal="center"/>
    </xf>
    <xf numFmtId="0" fontId="23" fillId="0" borderId="21" xfId="26" applyFont="1" applyBorder="1" applyAlignment="1">
      <alignment horizontal="center"/>
    </xf>
    <xf numFmtId="0" fontId="1" fillId="0" borderId="22" xfId="26" applyBorder="1" applyAlignment="1">
      <alignment horizontal="center"/>
    </xf>
    <xf numFmtId="0" fontId="22" fillId="0" borderId="23" xfId="26" applyFont="1" applyBorder="1" applyAlignment="1">
      <alignment horizontal="center"/>
    </xf>
    <xf numFmtId="0" fontId="22" fillId="0" borderId="24" xfId="26" applyFont="1" applyBorder="1" applyAlignment="1">
      <alignment horizontal="center"/>
    </xf>
    <xf numFmtId="0" fontId="22" fillId="0" borderId="25" xfId="26" applyFont="1" applyBorder="1" applyAlignment="1">
      <alignment horizontal="center"/>
    </xf>
    <xf numFmtId="0" fontId="24" fillId="0" borderId="18" xfId="27" applyFont="1" applyBorder="1" applyAlignment="1">
      <alignment horizontal="center"/>
    </xf>
    <xf numFmtId="49" fontId="15" fillId="0" borderId="15" xfId="27" applyNumberFormat="1" applyFont="1" applyBorder="1" applyAlignment="1">
      <alignment horizontal="center"/>
    </xf>
    <xf numFmtId="49" fontId="15" fillId="0" borderId="16" xfId="27" applyNumberFormat="1" applyFont="1" applyBorder="1" applyAlignment="1">
      <alignment horizontal="center"/>
    </xf>
    <xf numFmtId="49" fontId="15" fillId="0" borderId="16" xfId="27" applyNumberFormat="1" applyFont="1" applyBorder="1" applyAlignment="1">
      <alignment horizontal="center" vertical="top"/>
    </xf>
    <xf numFmtId="0" fontId="17" fillId="0" borderId="17" xfId="27" applyFont="1" applyBorder="1" applyAlignment="1">
      <alignment horizontal="center"/>
    </xf>
    <xf numFmtId="0" fontId="15" fillId="0" borderId="17" xfId="27" applyFont="1" applyBorder="1" applyAlignment="1">
      <alignment horizontal="left"/>
    </xf>
    <xf numFmtId="41" fontId="15" fillId="0" borderId="17" xfId="27" applyNumberFormat="1" applyFont="1" applyBorder="1" applyAlignment="1"/>
    <xf numFmtId="43" fontId="15" fillId="0" borderId="17" xfId="26" applyNumberFormat="1" applyFont="1" applyBorder="1" applyAlignment="1"/>
    <xf numFmtId="0" fontId="25" fillId="0" borderId="18" xfId="27" applyFont="1" applyBorder="1" applyAlignment="1">
      <alignment horizontal="center"/>
    </xf>
    <xf numFmtId="0" fontId="14" fillId="0" borderId="15" xfId="27" applyFont="1" applyBorder="1"/>
    <xf numFmtId="49" fontId="25" fillId="0" borderId="16" xfId="27" applyNumberFormat="1" applyFont="1" applyBorder="1" applyAlignment="1">
      <alignment horizontal="center"/>
    </xf>
    <xf numFmtId="49" fontId="25" fillId="0" borderId="17" xfId="27" applyNumberFormat="1" applyFont="1" applyBorder="1" applyAlignment="1">
      <alignment horizontal="left"/>
    </xf>
    <xf numFmtId="0" fontId="25" fillId="0" borderId="17" xfId="27" applyFont="1" applyBorder="1" applyAlignment="1"/>
    <xf numFmtId="41" fontId="25" fillId="0" borderId="17" xfId="26" applyNumberFormat="1" applyFont="1" applyBorder="1" applyAlignment="1"/>
    <xf numFmtId="43" fontId="25" fillId="0" borderId="17" xfId="26" applyNumberFormat="1" applyFont="1" applyBorder="1" applyAlignment="1"/>
    <xf numFmtId="0" fontId="26" fillId="0" borderId="18" xfId="27" applyFont="1" applyBorder="1" applyAlignment="1">
      <alignment horizontal="center"/>
    </xf>
    <xf numFmtId="49" fontId="26" fillId="0" borderId="16" xfId="27" applyNumberFormat="1" applyFont="1" applyBorder="1" applyAlignment="1">
      <alignment horizontal="center"/>
    </xf>
    <xf numFmtId="49" fontId="26" fillId="0" borderId="17" xfId="27" applyNumberFormat="1" applyFont="1" applyBorder="1" applyAlignment="1">
      <alignment horizontal="left"/>
    </xf>
    <xf numFmtId="0" fontId="26" fillId="0" borderId="17" xfId="27" applyFont="1" applyBorder="1" applyAlignment="1"/>
    <xf numFmtId="41" fontId="26" fillId="0" borderId="17" xfId="26" applyNumberFormat="1" applyFont="1" applyBorder="1" applyAlignment="1"/>
    <xf numFmtId="43" fontId="26" fillId="0" borderId="17" xfId="26" applyNumberFormat="1" applyFont="1" applyBorder="1" applyAlignment="1"/>
    <xf numFmtId="0" fontId="19" fillId="0" borderId="18" xfId="27" applyFont="1" applyBorder="1" applyAlignment="1">
      <alignment horizontal="center"/>
    </xf>
    <xf numFmtId="0" fontId="22" fillId="0" borderId="15" xfId="26" applyFont="1" applyBorder="1"/>
    <xf numFmtId="0" fontId="22" fillId="0" borderId="16" xfId="26" applyFont="1" applyBorder="1"/>
    <xf numFmtId="0" fontId="22" fillId="0" borderId="16" xfId="26" applyFont="1" applyBorder="1" applyAlignment="1">
      <alignment horizontal="center"/>
    </xf>
    <xf numFmtId="49" fontId="22" fillId="0" borderId="17" xfId="26" applyNumberFormat="1" applyFont="1" applyBorder="1" applyAlignment="1">
      <alignment horizontal="center"/>
    </xf>
    <xf numFmtId="49" fontId="22" fillId="0" borderId="17" xfId="26" applyNumberFormat="1" applyFont="1" applyBorder="1" applyAlignment="1"/>
    <xf numFmtId="41" fontId="22" fillId="0" borderId="17" xfId="26" applyNumberFormat="1" applyFont="1" applyBorder="1" applyAlignment="1"/>
    <xf numFmtId="43" fontId="19" fillId="0" borderId="17" xfId="26" applyNumberFormat="1" applyFont="1" applyBorder="1" applyAlignment="1"/>
    <xf numFmtId="0" fontId="22" fillId="0" borderId="15" xfId="27" applyFont="1" applyBorder="1"/>
    <xf numFmtId="49" fontId="9" fillId="0" borderId="16" xfId="27" applyNumberFormat="1" applyFont="1" applyBorder="1" applyAlignment="1">
      <alignment horizontal="center"/>
    </xf>
    <xf numFmtId="49" fontId="9" fillId="0" borderId="17" xfId="27" applyNumberFormat="1" applyFont="1" applyBorder="1" applyAlignment="1">
      <alignment horizontal="left"/>
    </xf>
    <xf numFmtId="0" fontId="9" fillId="0" borderId="17" xfId="27" applyFont="1" applyBorder="1" applyAlignment="1"/>
    <xf numFmtId="41" fontId="9" fillId="0" borderId="17" xfId="26" applyNumberFormat="1" applyFont="1" applyFill="1" applyBorder="1" applyAlignment="1"/>
    <xf numFmtId="49" fontId="9" fillId="0" borderId="16" xfId="27" applyNumberFormat="1" applyFont="1" applyFill="1" applyBorder="1" applyAlignment="1" applyProtection="1">
      <alignment horizontal="center"/>
      <protection locked="0"/>
    </xf>
    <xf numFmtId="49" fontId="9" fillId="0" borderId="17" xfId="27" applyNumberFormat="1" applyFont="1" applyBorder="1" applyAlignment="1">
      <alignment horizontal="center"/>
    </xf>
    <xf numFmtId="41" fontId="9" fillId="0" borderId="17" xfId="27" applyNumberFormat="1" applyFont="1" applyBorder="1" applyAlignment="1"/>
    <xf numFmtId="0" fontId="19" fillId="0" borderId="15" xfId="27" applyFont="1" applyBorder="1"/>
    <xf numFmtId="49" fontId="19" fillId="0" borderId="16" xfId="27" applyNumberFormat="1" applyFont="1" applyFill="1" applyBorder="1" applyAlignment="1" applyProtection="1">
      <alignment horizontal="center"/>
      <protection locked="0"/>
    </xf>
    <xf numFmtId="49" fontId="26" fillId="0" borderId="17" xfId="27" applyNumberFormat="1" applyFont="1" applyBorder="1" applyAlignment="1">
      <alignment horizontal="center"/>
    </xf>
    <xf numFmtId="41" fontId="26" fillId="0" borderId="17" xfId="27" applyNumberFormat="1" applyFont="1" applyBorder="1" applyAlignment="1"/>
    <xf numFmtId="49" fontId="19" fillId="0" borderId="0" xfId="27" applyNumberFormat="1" applyFont="1" applyFill="1" applyBorder="1" applyAlignment="1" applyProtection="1">
      <alignment horizontal="center"/>
      <protection locked="0"/>
    </xf>
    <xf numFmtId="1" fontId="1" fillId="0" borderId="2" xfId="26" applyNumberFormat="1" applyFont="1" applyFill="1" applyBorder="1" applyAlignment="1">
      <alignment horizontal="left" vertical="top" wrapText="1"/>
    </xf>
    <xf numFmtId="1" fontId="19" fillId="0" borderId="2" xfId="26" applyNumberFormat="1" applyFont="1" applyFill="1" applyBorder="1" applyAlignment="1">
      <alignment horizontal="center"/>
    </xf>
    <xf numFmtId="0" fontId="19" fillId="0" borderId="18" xfId="26" applyFont="1" applyBorder="1" applyAlignment="1"/>
    <xf numFmtId="41" fontId="19" fillId="0" borderId="17" xfId="27" applyNumberFormat="1" applyFont="1" applyBorder="1" applyAlignment="1"/>
    <xf numFmtId="49" fontId="27" fillId="0" borderId="0" xfId="27" applyNumberFormat="1" applyFont="1" applyBorder="1" applyAlignment="1">
      <alignment horizontal="center"/>
    </xf>
    <xf numFmtId="1" fontId="19" fillId="0" borderId="26" xfId="26" applyNumberFormat="1" applyFont="1" applyFill="1" applyBorder="1" applyAlignment="1">
      <alignment horizontal="center"/>
    </xf>
    <xf numFmtId="49" fontId="19" fillId="0" borderId="18" xfId="26" applyNumberFormat="1" applyFont="1" applyBorder="1" applyAlignment="1"/>
    <xf numFmtId="0" fontId="19" fillId="0" borderId="18" xfId="26" applyNumberFormat="1" applyFont="1" applyFill="1" applyBorder="1" applyAlignment="1">
      <alignment horizontal="left"/>
    </xf>
    <xf numFmtId="49" fontId="19" fillId="0" borderId="16" xfId="27" applyNumberFormat="1" applyFont="1" applyBorder="1" applyAlignment="1">
      <alignment horizontal="center"/>
    </xf>
    <xf numFmtId="49" fontId="19" fillId="0" borderId="17" xfId="27" applyNumberFormat="1" applyFont="1" applyBorder="1" applyAlignment="1">
      <alignment horizontal="center"/>
    </xf>
    <xf numFmtId="0" fontId="19" fillId="0" borderId="17" xfId="27" applyFont="1" applyBorder="1" applyAlignment="1"/>
    <xf numFmtId="41" fontId="19" fillId="0" borderId="17" xfId="26" applyNumberFormat="1" applyFont="1" applyBorder="1" applyAlignment="1"/>
    <xf numFmtId="49" fontId="19" fillId="0" borderId="17" xfId="26" applyNumberFormat="1" applyFont="1" applyBorder="1" applyAlignment="1"/>
    <xf numFmtId="49" fontId="19" fillId="0" borderId="0" xfId="27" applyNumberFormat="1" applyFont="1" applyBorder="1" applyAlignment="1">
      <alignment horizontal="center"/>
    </xf>
    <xf numFmtId="49" fontId="19" fillId="0" borderId="26" xfId="27" applyNumberFormat="1" applyFont="1" applyBorder="1" applyAlignment="1">
      <alignment horizontal="center"/>
    </xf>
    <xf numFmtId="0" fontId="19" fillId="0" borderId="17" xfId="26" applyFont="1" applyBorder="1" applyAlignment="1"/>
    <xf numFmtId="49" fontId="26" fillId="0" borderId="26" xfId="27" applyNumberFormat="1" applyFont="1" applyBorder="1" applyAlignment="1">
      <alignment horizontal="center"/>
    </xf>
    <xf numFmtId="43" fontId="22" fillId="0" borderId="17" xfId="26" applyNumberFormat="1" applyFont="1" applyBorder="1" applyAlignment="1"/>
    <xf numFmtId="49" fontId="26" fillId="0" borderId="0" xfId="27" applyNumberFormat="1" applyFont="1" applyBorder="1" applyAlignment="1">
      <alignment horizontal="center"/>
    </xf>
    <xf numFmtId="0" fontId="19" fillId="0" borderId="17" xfId="26" applyFont="1" applyFill="1" applyBorder="1" applyAlignment="1"/>
    <xf numFmtId="0" fontId="19" fillId="2" borderId="18" xfId="27" applyFont="1" applyFill="1" applyBorder="1" applyAlignment="1">
      <alignment horizontal="center"/>
    </xf>
    <xf numFmtId="0" fontId="19" fillId="2" borderId="15" xfId="27" applyFont="1" applyFill="1" applyBorder="1"/>
    <xf numFmtId="49" fontId="19" fillId="2" borderId="16" xfId="27" applyNumberFormat="1" applyFont="1" applyFill="1" applyBorder="1" applyAlignment="1" applyProtection="1">
      <alignment horizontal="center"/>
      <protection locked="0"/>
    </xf>
    <xf numFmtId="49" fontId="26" fillId="2" borderId="0" xfId="27" applyNumberFormat="1" applyFont="1" applyFill="1" applyBorder="1" applyAlignment="1">
      <alignment horizontal="center"/>
    </xf>
    <xf numFmtId="1" fontId="19" fillId="2" borderId="26" xfId="26" applyNumberFormat="1" applyFont="1" applyFill="1" applyBorder="1" applyAlignment="1">
      <alignment horizontal="center"/>
    </xf>
    <xf numFmtId="0" fontId="19" fillId="2" borderId="17" xfId="26" applyFont="1" applyFill="1" applyBorder="1" applyAlignment="1"/>
    <xf numFmtId="41" fontId="19" fillId="2" borderId="17" xfId="27" applyNumberFormat="1" applyFont="1" applyFill="1" applyBorder="1" applyAlignment="1"/>
    <xf numFmtId="43" fontId="22" fillId="2" borderId="17" xfId="26" applyNumberFormat="1" applyFont="1" applyFill="1" applyBorder="1" applyAlignment="1"/>
    <xf numFmtId="0" fontId="1" fillId="2" borderId="0" xfId="26" applyFill="1"/>
    <xf numFmtId="0" fontId="19" fillId="0" borderId="18" xfId="27" applyFont="1" applyFill="1" applyBorder="1" applyAlignment="1">
      <alignment horizontal="center"/>
    </xf>
    <xf numFmtId="0" fontId="19" fillId="0" borderId="15" xfId="27" applyFont="1" applyFill="1" applyBorder="1"/>
    <xf numFmtId="49" fontId="19" fillId="0" borderId="16" xfId="27" applyNumberFormat="1" applyFont="1" applyFill="1" applyBorder="1" applyAlignment="1">
      <alignment horizontal="center"/>
    </xf>
    <xf numFmtId="49" fontId="19" fillId="0" borderId="17" xfId="27" applyNumberFormat="1" applyFont="1" applyFill="1" applyBorder="1" applyAlignment="1">
      <alignment horizontal="center"/>
    </xf>
    <xf numFmtId="0" fontId="19" fillId="0" borderId="17" xfId="27" applyFont="1" applyFill="1" applyBorder="1" applyAlignment="1"/>
    <xf numFmtId="0" fontId="1" fillId="0" borderId="0" xfId="26" applyFill="1"/>
    <xf numFmtId="41" fontId="19" fillId="0" borderId="17" xfId="27" applyNumberFormat="1" applyFont="1" applyFill="1" applyBorder="1" applyAlignment="1"/>
    <xf numFmtId="49" fontId="19" fillId="2" borderId="16" xfId="27" applyNumberFormat="1" applyFont="1" applyFill="1" applyBorder="1" applyAlignment="1">
      <alignment horizontal="center"/>
    </xf>
    <xf numFmtId="49" fontId="19" fillId="2" borderId="17" xfId="27" applyNumberFormat="1" applyFont="1" applyFill="1" applyBorder="1" applyAlignment="1">
      <alignment horizontal="center"/>
    </xf>
    <xf numFmtId="0" fontId="19" fillId="2" borderId="17" xfId="27" applyFont="1" applyFill="1" applyBorder="1" applyAlignment="1"/>
    <xf numFmtId="41" fontId="25" fillId="0" borderId="17" xfId="27" applyNumberFormat="1" applyFont="1" applyBorder="1" applyAlignment="1"/>
    <xf numFmtId="0" fontId="1" fillId="0" borderId="27" xfId="26" applyBorder="1"/>
    <xf numFmtId="0" fontId="1" fillId="0" borderId="19" xfId="26" applyBorder="1" applyAlignment="1">
      <alignment wrapText="1"/>
    </xf>
    <xf numFmtId="0" fontId="1" fillId="0" borderId="20" xfId="26" applyBorder="1" applyAlignment="1">
      <alignment wrapText="1"/>
    </xf>
    <xf numFmtId="0" fontId="28" fillId="0" borderId="21" xfId="26" applyFont="1" applyBorder="1" applyAlignment="1">
      <alignment horizontal="left" wrapText="1"/>
    </xf>
    <xf numFmtId="0" fontId="28" fillId="0" borderId="21" xfId="26" applyFont="1" applyBorder="1" applyAlignment="1">
      <alignment wrapText="1"/>
    </xf>
    <xf numFmtId="41" fontId="1" fillId="0" borderId="21" xfId="26" applyNumberFormat="1" applyBorder="1" applyAlignment="1"/>
    <xf numFmtId="43" fontId="26" fillId="0" borderId="27" xfId="26" applyNumberFormat="1" applyFont="1" applyBorder="1" applyAlignment="1"/>
    <xf numFmtId="0" fontId="1" fillId="0" borderId="0" xfId="26" applyAlignment="1">
      <alignment wrapText="1"/>
    </xf>
    <xf numFmtId="0" fontId="29" fillId="0" borderId="0" xfId="28" applyFill="1"/>
    <xf numFmtId="0" fontId="30" fillId="0" borderId="0" xfId="25" applyFont="1" applyFill="1" applyBorder="1" applyAlignment="1">
      <alignment horizontal="centerContinuous"/>
    </xf>
    <xf numFmtId="0" fontId="31" fillId="0" borderId="0" xfId="25" applyFont="1" applyFill="1" applyBorder="1" applyAlignment="1">
      <alignment horizontal="centerContinuous"/>
    </xf>
    <xf numFmtId="0" fontId="13" fillId="0" borderId="0" xfId="25" applyFont="1" applyFill="1" applyBorder="1" applyAlignment="1">
      <alignment horizontal="centerContinuous"/>
    </xf>
    <xf numFmtId="0" fontId="13" fillId="0" borderId="0" xfId="25" applyFill="1" applyBorder="1" applyAlignment="1">
      <alignment horizontal="centerContinuous"/>
    </xf>
    <xf numFmtId="0" fontId="13" fillId="0" borderId="0" xfId="25"/>
    <xf numFmtId="0" fontId="33" fillId="0" borderId="0" xfId="28" applyFont="1" applyFill="1" applyBorder="1"/>
    <xf numFmtId="0" fontId="29" fillId="0" borderId="0" xfId="28" applyFill="1" applyBorder="1"/>
    <xf numFmtId="0" fontId="13" fillId="0" borderId="0" xfId="28" applyFont="1" applyFill="1" applyBorder="1"/>
    <xf numFmtId="3" fontId="29" fillId="0" borderId="0" xfId="28" applyNumberFormat="1" applyFill="1" applyBorder="1"/>
    <xf numFmtId="0" fontId="13" fillId="0" borderId="0" xfId="25" applyFill="1" applyBorder="1" applyAlignment="1">
      <alignment horizontal="right"/>
    </xf>
    <xf numFmtId="49" fontId="2" fillId="0" borderId="22" xfId="28" applyNumberFormat="1" applyFont="1" applyFill="1" applyBorder="1" applyAlignment="1">
      <alignment horizontal="left"/>
    </xf>
    <xf numFmtId="49" fontId="2" fillId="0" borderId="22" xfId="28" applyNumberFormat="1" applyFont="1" applyFill="1" applyBorder="1" applyAlignment="1">
      <alignment horizontal="center"/>
    </xf>
    <xf numFmtId="49" fontId="34" fillId="0" borderId="22" xfId="28" applyNumberFormat="1" applyFont="1" applyFill="1" applyBorder="1" applyAlignment="1">
      <alignment horizontal="center"/>
    </xf>
    <xf numFmtId="49" fontId="35" fillId="0" borderId="18" xfId="28" applyNumberFormat="1" applyFont="1" applyFill="1" applyBorder="1" applyAlignment="1">
      <alignment horizontal="left"/>
    </xf>
    <xf numFmtId="167" fontId="4" fillId="0" borderId="18" xfId="28" applyNumberFormat="1" applyFont="1" applyFill="1" applyBorder="1"/>
    <xf numFmtId="49" fontId="29" fillId="0" borderId="18" xfId="28" applyNumberFormat="1" applyFill="1" applyBorder="1" applyAlignment="1">
      <alignment horizontal="left"/>
    </xf>
    <xf numFmtId="168" fontId="4" fillId="0" borderId="18" xfId="28" applyNumberFormat="1" applyFont="1" applyFill="1" applyBorder="1"/>
    <xf numFmtId="168" fontId="36" fillId="0" borderId="18" xfId="28" applyNumberFormat="1" applyFont="1" applyFill="1" applyBorder="1"/>
    <xf numFmtId="49" fontId="4" fillId="0" borderId="18" xfId="28" applyNumberFormat="1" applyFont="1" applyFill="1" applyBorder="1" applyAlignment="1">
      <alignment horizontal="left"/>
    </xf>
    <xf numFmtId="3" fontId="13" fillId="0" borderId="18" xfId="25" applyNumberFormat="1" applyBorder="1"/>
    <xf numFmtId="3" fontId="36" fillId="0" borderId="18" xfId="25" applyNumberFormat="1" applyFont="1" applyBorder="1"/>
    <xf numFmtId="3" fontId="13" fillId="0" borderId="0" xfId="25" applyNumberFormat="1"/>
    <xf numFmtId="4" fontId="13" fillId="0" borderId="18" xfId="25" applyNumberFormat="1" applyBorder="1"/>
    <xf numFmtId="4" fontId="36" fillId="0" borderId="18" xfId="25" applyNumberFormat="1" applyFont="1" applyBorder="1"/>
    <xf numFmtId="49" fontId="35" fillId="0" borderId="28" xfId="28" applyNumberFormat="1" applyFont="1" applyFill="1" applyBorder="1" applyAlignment="1">
      <alignment horizontal="left"/>
    </xf>
    <xf numFmtId="167" fontId="4" fillId="0" borderId="28" xfId="28" applyNumberFormat="1" applyFont="1" applyFill="1" applyBorder="1"/>
    <xf numFmtId="167" fontId="36" fillId="0" borderId="28" xfId="28" applyNumberFormat="1" applyFont="1" applyFill="1" applyBorder="1"/>
    <xf numFmtId="49" fontId="4" fillId="0" borderId="14" xfId="28" applyNumberFormat="1" applyFont="1" applyFill="1" applyBorder="1" applyAlignment="1">
      <alignment horizontal="left"/>
    </xf>
    <xf numFmtId="4" fontId="4" fillId="0" borderId="28" xfId="28" applyNumberFormat="1" applyFont="1" applyFill="1" applyBorder="1"/>
    <xf numFmtId="4" fontId="36" fillId="0" borderId="28" xfId="28" applyNumberFormat="1" applyFont="1" applyFill="1" applyBorder="1"/>
    <xf numFmtId="3" fontId="4" fillId="0" borderId="18" xfId="28" applyNumberFormat="1" applyFont="1" applyFill="1" applyBorder="1"/>
    <xf numFmtId="3" fontId="36" fillId="0" borderId="18" xfId="28" applyNumberFormat="1" applyFont="1" applyFill="1" applyBorder="1"/>
    <xf numFmtId="49" fontId="2" fillId="0" borderId="28" xfId="28" applyNumberFormat="1" applyFont="1" applyFill="1" applyBorder="1" applyAlignment="1">
      <alignment horizontal="left"/>
    </xf>
    <xf numFmtId="167" fontId="2" fillId="0" borderId="28" xfId="28" applyNumberFormat="1" applyFont="1" applyFill="1" applyBorder="1"/>
    <xf numFmtId="167" fontId="37" fillId="0" borderId="28" xfId="28" applyNumberFormat="1" applyFont="1" applyFill="1" applyBorder="1"/>
    <xf numFmtId="49" fontId="2" fillId="0" borderId="18" xfId="28" applyNumberFormat="1" applyFont="1" applyFill="1" applyBorder="1" applyAlignment="1">
      <alignment horizontal="left"/>
    </xf>
    <xf numFmtId="168" fontId="2" fillId="0" borderId="18" xfId="28" applyNumberFormat="1" applyFont="1" applyFill="1" applyBorder="1"/>
    <xf numFmtId="168" fontId="37" fillId="0" borderId="18" xfId="28" applyNumberFormat="1" applyFont="1" applyFill="1" applyBorder="1"/>
    <xf numFmtId="169" fontId="13" fillId="0" borderId="0" xfId="25" applyNumberFormat="1" applyFill="1"/>
    <xf numFmtId="49" fontId="2" fillId="0" borderId="27" xfId="28" applyNumberFormat="1" applyFont="1" applyFill="1" applyBorder="1" applyAlignment="1">
      <alignment horizontal="left"/>
    </xf>
    <xf numFmtId="167" fontId="2" fillId="0" borderId="27" xfId="28" applyNumberFormat="1" applyFont="1" applyFill="1" applyBorder="1"/>
    <xf numFmtId="167" fontId="37" fillId="0" borderId="27" xfId="28" applyNumberFormat="1" applyFont="1" applyFill="1" applyBorder="1"/>
    <xf numFmtId="168" fontId="13" fillId="0" borderId="0" xfId="25" applyNumberFormat="1"/>
    <xf numFmtId="0" fontId="13" fillId="0" borderId="0" xfId="25" applyFont="1" applyFill="1"/>
    <xf numFmtId="4" fontId="3" fillId="0" borderId="0" xfId="14" applyFont="1" applyAlignment="1">
      <alignment horizontal="left"/>
    </xf>
  </cellXfs>
  <cellStyles count="29">
    <cellStyle name="Akcia" xfId="4"/>
    <cellStyle name="Cena_Sk" xfId="5"/>
    <cellStyle name="Comma [0]" xfId="6"/>
    <cellStyle name="Currency [0]" xfId="7"/>
    <cellStyle name="Date" xfId="8"/>
    <cellStyle name="Fixed" xfId="9"/>
    <cellStyle name="Heading1" xfId="10"/>
    <cellStyle name="Heading2" xfId="11"/>
    <cellStyle name="Nazov" xfId="12"/>
    <cellStyle name="Normal_Book1" xfId="13"/>
    <cellStyle name="Normálna" xfId="0" builtinId="0"/>
    <cellStyle name="Normálna 2" xfId="21"/>
    <cellStyle name="Normálna 3" xfId="24"/>
    <cellStyle name="Normálna 4" xfId="25"/>
    <cellStyle name="normálne_Garančné poistenie a poistenie v nezamestnanosti- výdavky r.2004-definitívna" xfId="14"/>
    <cellStyle name="normálne_Hárok1" xfId="28"/>
    <cellStyle name="normálne_mesačný a kvartálny rozpis rozpočtu na rok 2005" xfId="22"/>
    <cellStyle name="normálne_plnenie 2011" xfId="26"/>
    <cellStyle name="normálne_plnenie investície 2006" xfId="27"/>
    <cellStyle name="normálne_Prehľad o výdavkoch ZFGP I Q 2006" xfId="3"/>
    <cellStyle name="normálne_Prílohy do rozboru  - dávka v nezamestnanosti" xfId="23"/>
    <cellStyle name="normálne_Výdavky ZFNP 2007 - do správy" xfId="2"/>
    <cellStyle name="normálne_Zošit2" xfId="1"/>
    <cellStyle name="normální 2" xfId="15"/>
    <cellStyle name="normální_15.6.07 východ.+rozpočet 08-10" xfId="16"/>
    <cellStyle name="Popis" xfId="17"/>
    <cellStyle name="ProductNo." xfId="18"/>
    <cellStyle name="Total" xfId="19"/>
    <cellStyle name="Upozornenie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opLeftCell="A6" workbookViewId="0">
      <selection activeCell="H6" sqref="A6:H50"/>
    </sheetView>
  </sheetViews>
  <sheetFormatPr defaultColWidth="8" defaultRowHeight="14.25" x14ac:dyDescent="0.2"/>
  <cols>
    <col min="1" max="1" width="23.28515625" style="25" customWidth="1"/>
    <col min="2" max="4" width="14" style="25" customWidth="1"/>
    <col min="5" max="5" width="12.28515625" style="25" customWidth="1"/>
    <col min="6" max="6" width="12.28515625" style="72" customWidth="1"/>
    <col min="7" max="7" width="12.28515625" style="31" customWidth="1"/>
    <col min="8" max="8" width="12.28515625" style="25" customWidth="1"/>
    <col min="9" max="16384" width="8" style="25"/>
  </cols>
  <sheetData>
    <row r="1" spans="1:8" x14ac:dyDescent="0.2">
      <c r="G1" s="26"/>
    </row>
    <row r="3" spans="1:8" x14ac:dyDescent="0.2">
      <c r="G3" s="26"/>
    </row>
    <row r="4" spans="1:8" x14ac:dyDescent="0.2">
      <c r="B4" s="28"/>
      <c r="C4" s="28"/>
      <c r="D4" s="28"/>
      <c r="E4" s="28"/>
      <c r="F4" s="73"/>
      <c r="G4" s="28"/>
    </row>
    <row r="5" spans="1:8" x14ac:dyDescent="0.2">
      <c r="A5" s="263"/>
      <c r="B5" s="263"/>
      <c r="C5" s="263"/>
      <c r="D5" s="263"/>
      <c r="E5" s="263"/>
      <c r="F5" s="263"/>
      <c r="G5" s="263"/>
    </row>
    <row r="6" spans="1:8" x14ac:dyDescent="0.2">
      <c r="A6" s="28" t="s">
        <v>68</v>
      </c>
      <c r="B6" s="29"/>
      <c r="C6" s="29"/>
      <c r="D6" s="29"/>
      <c r="E6" s="29"/>
      <c r="F6" s="74"/>
      <c r="G6" s="29"/>
      <c r="H6" s="25" t="s">
        <v>0</v>
      </c>
    </row>
    <row r="7" spans="1:8" x14ac:dyDescent="0.2">
      <c r="A7" s="4" t="s">
        <v>69</v>
      </c>
      <c r="B7" s="29"/>
      <c r="C7" s="29"/>
      <c r="D7" s="29"/>
      <c r="E7" s="29"/>
      <c r="F7" s="74"/>
      <c r="G7" s="29"/>
    </row>
    <row r="8" spans="1:8" x14ac:dyDescent="0.2">
      <c r="A8" s="29"/>
      <c r="B8" s="29"/>
      <c r="C8" s="29"/>
      <c r="D8" s="29"/>
      <c r="E8" s="29"/>
      <c r="F8" s="74"/>
      <c r="G8" s="29"/>
    </row>
    <row r="9" spans="1:8" ht="15.75" customHeight="1" x14ac:dyDescent="0.25">
      <c r="A9" s="30"/>
      <c r="B9" s="30"/>
      <c r="C9" s="30"/>
      <c r="D9" s="30"/>
      <c r="E9" s="75"/>
      <c r="F9" s="76"/>
      <c r="H9" s="32" t="s">
        <v>3</v>
      </c>
    </row>
    <row r="10" spans="1:8" ht="41.25" customHeight="1" x14ac:dyDescent="0.2">
      <c r="A10" s="36" t="s">
        <v>4</v>
      </c>
      <c r="B10" s="59" t="s">
        <v>53</v>
      </c>
      <c r="C10" s="77" t="s">
        <v>54</v>
      </c>
      <c r="D10" s="77" t="s">
        <v>55</v>
      </c>
      <c r="E10" s="9" t="s">
        <v>56</v>
      </c>
      <c r="F10" s="9" t="s">
        <v>67</v>
      </c>
      <c r="G10" s="9" t="s">
        <v>57</v>
      </c>
      <c r="H10" s="9" t="s">
        <v>9</v>
      </c>
    </row>
    <row r="11" spans="1:8" x14ac:dyDescent="0.2">
      <c r="A11" s="36" t="s">
        <v>10</v>
      </c>
      <c r="B11" s="37">
        <v>1</v>
      </c>
      <c r="C11" s="37">
        <v>2</v>
      </c>
      <c r="D11" s="37">
        <v>3</v>
      </c>
      <c r="E11" s="78">
        <v>4</v>
      </c>
      <c r="F11" s="79">
        <v>5</v>
      </c>
      <c r="G11" s="37">
        <v>6</v>
      </c>
      <c r="H11" s="80">
        <v>7</v>
      </c>
    </row>
    <row r="12" spans="1:8" ht="18" customHeight="1" x14ac:dyDescent="0.2">
      <c r="A12" s="39" t="s">
        <v>11</v>
      </c>
      <c r="B12" s="40">
        <v>77344</v>
      </c>
      <c r="C12" s="40">
        <v>73328</v>
      </c>
      <c r="D12" s="81">
        <v>82499</v>
      </c>
      <c r="E12" s="82">
        <f>+D12/B12*100</f>
        <v>106.66502896152255</v>
      </c>
      <c r="F12" s="68">
        <f>+D12-B12</f>
        <v>5155</v>
      </c>
      <c r="G12" s="14">
        <f>+D12/C12*100</f>
        <v>112.50681867772201</v>
      </c>
      <c r="H12" s="15">
        <f>+D12-C12</f>
        <v>9171</v>
      </c>
    </row>
    <row r="13" spans="1:8" ht="18" customHeight="1" x14ac:dyDescent="0.2">
      <c r="A13" s="39" t="s">
        <v>12</v>
      </c>
      <c r="B13" s="40">
        <v>14189</v>
      </c>
      <c r="C13" s="40">
        <v>14114</v>
      </c>
      <c r="D13" s="44">
        <v>15683</v>
      </c>
      <c r="E13" s="82">
        <f t="shared" ref="E13:E50" si="0">+D13/B13*100</f>
        <v>110.52928324758615</v>
      </c>
      <c r="F13" s="68">
        <f t="shared" ref="F13:F50" si="1">+D13-B13</f>
        <v>1494</v>
      </c>
      <c r="G13" s="14">
        <f t="shared" ref="G13:G50" si="2">+D13/C13*100</f>
        <v>111.11662179396345</v>
      </c>
      <c r="H13" s="17">
        <f t="shared" ref="H13:H50" si="3">+D13-C13</f>
        <v>1569</v>
      </c>
    </row>
    <row r="14" spans="1:8" ht="18" customHeight="1" x14ac:dyDescent="0.2">
      <c r="A14" s="39" t="s">
        <v>13</v>
      </c>
      <c r="B14" s="40">
        <v>6629</v>
      </c>
      <c r="C14" s="40">
        <v>6545</v>
      </c>
      <c r="D14" s="44">
        <v>6741</v>
      </c>
      <c r="E14" s="82">
        <f t="shared" si="0"/>
        <v>101.6895459345301</v>
      </c>
      <c r="F14" s="68">
        <f t="shared" si="1"/>
        <v>112</v>
      </c>
      <c r="G14" s="14">
        <f t="shared" si="2"/>
        <v>102.99465240641712</v>
      </c>
      <c r="H14" s="17">
        <f t="shared" si="3"/>
        <v>196</v>
      </c>
    </row>
    <row r="15" spans="1:8" ht="18" customHeight="1" x14ac:dyDescent="0.2">
      <c r="A15" s="39" t="s">
        <v>14</v>
      </c>
      <c r="B15" s="40">
        <v>6487</v>
      </c>
      <c r="C15" s="40">
        <v>6456</v>
      </c>
      <c r="D15" s="44">
        <v>6729</v>
      </c>
      <c r="E15" s="82">
        <f t="shared" si="0"/>
        <v>103.73053799907508</v>
      </c>
      <c r="F15" s="68">
        <f t="shared" si="1"/>
        <v>242</v>
      </c>
      <c r="G15" s="14">
        <f t="shared" si="2"/>
        <v>104.22862453531599</v>
      </c>
      <c r="H15" s="17">
        <f t="shared" si="3"/>
        <v>273</v>
      </c>
    </row>
    <row r="16" spans="1:8" ht="18" customHeight="1" x14ac:dyDescent="0.2">
      <c r="A16" s="39" t="s">
        <v>15</v>
      </c>
      <c r="B16" s="40">
        <v>7031</v>
      </c>
      <c r="C16" s="40">
        <v>6827</v>
      </c>
      <c r="D16" s="44">
        <v>7433</v>
      </c>
      <c r="E16" s="82">
        <f t="shared" si="0"/>
        <v>105.71753662352438</v>
      </c>
      <c r="F16" s="68">
        <f t="shared" si="1"/>
        <v>402</v>
      </c>
      <c r="G16" s="14">
        <f t="shared" si="2"/>
        <v>108.87651970118645</v>
      </c>
      <c r="H16" s="17">
        <f t="shared" si="3"/>
        <v>606</v>
      </c>
    </row>
    <row r="17" spans="1:8" ht="18" customHeight="1" x14ac:dyDescent="0.2">
      <c r="A17" s="39" t="s">
        <v>16</v>
      </c>
      <c r="B17" s="40">
        <v>13231</v>
      </c>
      <c r="C17" s="40">
        <v>12681</v>
      </c>
      <c r="D17" s="44">
        <v>14135</v>
      </c>
      <c r="E17" s="82">
        <f t="shared" si="0"/>
        <v>106.83243896908775</v>
      </c>
      <c r="F17" s="68">
        <f t="shared" si="1"/>
        <v>904</v>
      </c>
      <c r="G17" s="14">
        <f t="shared" si="2"/>
        <v>111.46597271508556</v>
      </c>
      <c r="H17" s="17">
        <f t="shared" si="3"/>
        <v>1454</v>
      </c>
    </row>
    <row r="18" spans="1:8" ht="18" customHeight="1" x14ac:dyDescent="0.2">
      <c r="A18" s="39" t="s">
        <v>17</v>
      </c>
      <c r="B18" s="40">
        <v>9301</v>
      </c>
      <c r="C18" s="40">
        <v>8982</v>
      </c>
      <c r="D18" s="44">
        <v>10457</v>
      </c>
      <c r="E18" s="82">
        <f t="shared" si="0"/>
        <v>112.42877109988174</v>
      </c>
      <c r="F18" s="68">
        <f t="shared" si="1"/>
        <v>1156</v>
      </c>
      <c r="G18" s="14">
        <f t="shared" si="2"/>
        <v>116.42173235359607</v>
      </c>
      <c r="H18" s="17">
        <f t="shared" si="3"/>
        <v>1475</v>
      </c>
    </row>
    <row r="19" spans="1:8" ht="18" customHeight="1" x14ac:dyDescent="0.2">
      <c r="A19" s="39" t="s">
        <v>18</v>
      </c>
      <c r="B19" s="40">
        <v>9512</v>
      </c>
      <c r="C19" s="40">
        <v>9291</v>
      </c>
      <c r="D19" s="44">
        <v>9536</v>
      </c>
      <c r="E19" s="82">
        <f t="shared" si="0"/>
        <v>100.25231286795626</v>
      </c>
      <c r="F19" s="68">
        <f t="shared" si="1"/>
        <v>24</v>
      </c>
      <c r="G19" s="14">
        <f t="shared" si="2"/>
        <v>102.63696049940802</v>
      </c>
      <c r="H19" s="17">
        <f t="shared" si="3"/>
        <v>245</v>
      </c>
    </row>
    <row r="20" spans="1:8" ht="18" customHeight="1" x14ac:dyDescent="0.2">
      <c r="A20" s="39" t="s">
        <v>19</v>
      </c>
      <c r="B20" s="40">
        <v>11243</v>
      </c>
      <c r="C20" s="40">
        <v>10991</v>
      </c>
      <c r="D20" s="44">
        <v>12525</v>
      </c>
      <c r="E20" s="82">
        <f t="shared" si="0"/>
        <v>111.4026505381126</v>
      </c>
      <c r="F20" s="68">
        <f t="shared" si="1"/>
        <v>1282</v>
      </c>
      <c r="G20" s="14">
        <f t="shared" si="2"/>
        <v>113.95687380584114</v>
      </c>
      <c r="H20" s="17">
        <f t="shared" si="3"/>
        <v>1534</v>
      </c>
    </row>
    <row r="21" spans="1:8" ht="18" customHeight="1" x14ac:dyDescent="0.2">
      <c r="A21" s="39" t="s">
        <v>20</v>
      </c>
      <c r="B21" s="40">
        <v>2909</v>
      </c>
      <c r="C21" s="40">
        <v>2801</v>
      </c>
      <c r="D21" s="44">
        <v>2986</v>
      </c>
      <c r="E21" s="82">
        <f t="shared" si="0"/>
        <v>102.64695771742866</v>
      </c>
      <c r="F21" s="68">
        <f t="shared" si="1"/>
        <v>77</v>
      </c>
      <c r="G21" s="14">
        <f t="shared" si="2"/>
        <v>106.60478400571225</v>
      </c>
      <c r="H21" s="17">
        <f t="shared" si="3"/>
        <v>185</v>
      </c>
    </row>
    <row r="22" spans="1:8" ht="18" customHeight="1" x14ac:dyDescent="0.2">
      <c r="A22" s="39" t="s">
        <v>21</v>
      </c>
      <c r="B22" s="40">
        <v>4973</v>
      </c>
      <c r="C22" s="40">
        <v>4889</v>
      </c>
      <c r="D22" s="44">
        <v>5295</v>
      </c>
      <c r="E22" s="82">
        <f t="shared" si="0"/>
        <v>106.47496480997386</v>
      </c>
      <c r="F22" s="68">
        <f t="shared" si="1"/>
        <v>322</v>
      </c>
      <c r="G22" s="14">
        <f t="shared" si="2"/>
        <v>108.30435671916547</v>
      </c>
      <c r="H22" s="17">
        <f t="shared" si="3"/>
        <v>406</v>
      </c>
    </row>
    <row r="23" spans="1:8" ht="18" customHeight="1" x14ac:dyDescent="0.2">
      <c r="A23" s="39" t="s">
        <v>22</v>
      </c>
      <c r="B23" s="40">
        <v>4829</v>
      </c>
      <c r="C23" s="40">
        <v>4704</v>
      </c>
      <c r="D23" s="44">
        <v>5162</v>
      </c>
      <c r="E23" s="82">
        <f t="shared" si="0"/>
        <v>106.89583764754606</v>
      </c>
      <c r="F23" s="68">
        <f t="shared" si="1"/>
        <v>333</v>
      </c>
      <c r="G23" s="14">
        <f t="shared" si="2"/>
        <v>109.73639455782313</v>
      </c>
      <c r="H23" s="17">
        <f t="shared" si="3"/>
        <v>458</v>
      </c>
    </row>
    <row r="24" spans="1:8" ht="18" customHeight="1" x14ac:dyDescent="0.2">
      <c r="A24" s="39" t="s">
        <v>23</v>
      </c>
      <c r="B24" s="40">
        <v>11788</v>
      </c>
      <c r="C24" s="40">
        <v>11711</v>
      </c>
      <c r="D24" s="44">
        <v>12856</v>
      </c>
      <c r="E24" s="82">
        <f t="shared" si="0"/>
        <v>109.06006107906346</v>
      </c>
      <c r="F24" s="68">
        <f t="shared" si="1"/>
        <v>1068</v>
      </c>
      <c r="G24" s="14">
        <f t="shared" si="2"/>
        <v>109.77713261036632</v>
      </c>
      <c r="H24" s="17">
        <f t="shared" si="3"/>
        <v>1145</v>
      </c>
    </row>
    <row r="25" spans="1:8" ht="18" customHeight="1" x14ac:dyDescent="0.2">
      <c r="A25" s="39" t="s">
        <v>24</v>
      </c>
      <c r="B25" s="40">
        <v>15405</v>
      </c>
      <c r="C25" s="40">
        <v>14825</v>
      </c>
      <c r="D25" s="44">
        <v>16664</v>
      </c>
      <c r="E25" s="82">
        <f t="shared" si="0"/>
        <v>108.17267121064589</v>
      </c>
      <c r="F25" s="68">
        <f t="shared" si="1"/>
        <v>1259</v>
      </c>
      <c r="G25" s="14">
        <f t="shared" si="2"/>
        <v>112.40472175379426</v>
      </c>
      <c r="H25" s="17">
        <f t="shared" si="3"/>
        <v>1839</v>
      </c>
    </row>
    <row r="26" spans="1:8" ht="18" customHeight="1" x14ac:dyDescent="0.2">
      <c r="A26" s="39" t="s">
        <v>25</v>
      </c>
      <c r="B26" s="40">
        <v>6712</v>
      </c>
      <c r="C26" s="40">
        <v>6561</v>
      </c>
      <c r="D26" s="44">
        <v>7589</v>
      </c>
      <c r="E26" s="82">
        <f t="shared" si="0"/>
        <v>113.06615017878427</v>
      </c>
      <c r="F26" s="68">
        <f t="shared" si="1"/>
        <v>877</v>
      </c>
      <c r="G26" s="14">
        <f t="shared" si="2"/>
        <v>115.6683432403597</v>
      </c>
      <c r="H26" s="17">
        <f t="shared" si="3"/>
        <v>1028</v>
      </c>
    </row>
    <row r="27" spans="1:8" ht="18" customHeight="1" x14ac:dyDescent="0.2">
      <c r="A27" s="39" t="s">
        <v>26</v>
      </c>
      <c r="B27" s="40">
        <v>6989</v>
      </c>
      <c r="C27" s="40">
        <v>6680</v>
      </c>
      <c r="D27" s="44">
        <v>8202</v>
      </c>
      <c r="E27" s="82">
        <f t="shared" si="0"/>
        <v>117.35584489912721</v>
      </c>
      <c r="F27" s="68">
        <f t="shared" si="1"/>
        <v>1213</v>
      </c>
      <c r="G27" s="14">
        <f t="shared" si="2"/>
        <v>122.78443113772455</v>
      </c>
      <c r="H27" s="17">
        <f t="shared" si="3"/>
        <v>1522</v>
      </c>
    </row>
    <row r="28" spans="1:8" ht="18" customHeight="1" x14ac:dyDescent="0.2">
      <c r="A28" s="39" t="s">
        <v>27</v>
      </c>
      <c r="B28" s="40">
        <v>8184</v>
      </c>
      <c r="C28" s="40">
        <v>8007</v>
      </c>
      <c r="D28" s="44">
        <v>9453</v>
      </c>
      <c r="E28" s="82">
        <f t="shared" si="0"/>
        <v>115.50586510263929</v>
      </c>
      <c r="F28" s="68">
        <f t="shared" si="1"/>
        <v>1269</v>
      </c>
      <c r="G28" s="14">
        <f t="shared" si="2"/>
        <v>118.05919820157362</v>
      </c>
      <c r="H28" s="17">
        <f t="shared" si="3"/>
        <v>1446</v>
      </c>
    </row>
    <row r="29" spans="1:8" ht="18" customHeight="1" x14ac:dyDescent="0.2">
      <c r="A29" s="39" t="s">
        <v>28</v>
      </c>
      <c r="B29" s="40">
        <v>6335</v>
      </c>
      <c r="C29" s="40">
        <v>6087</v>
      </c>
      <c r="D29" s="44">
        <v>6754</v>
      </c>
      <c r="E29" s="82">
        <f t="shared" si="0"/>
        <v>106.61404893449091</v>
      </c>
      <c r="F29" s="68">
        <f t="shared" si="1"/>
        <v>419</v>
      </c>
      <c r="G29" s="14">
        <f t="shared" si="2"/>
        <v>110.95777887300804</v>
      </c>
      <c r="H29" s="17">
        <f t="shared" si="3"/>
        <v>667</v>
      </c>
    </row>
    <row r="30" spans="1:8" ht="18" customHeight="1" x14ac:dyDescent="0.2">
      <c r="A30" s="39" t="s">
        <v>29</v>
      </c>
      <c r="B30" s="40">
        <v>12552</v>
      </c>
      <c r="C30" s="40">
        <v>12074</v>
      </c>
      <c r="D30" s="44">
        <v>12967</v>
      </c>
      <c r="E30" s="82">
        <f t="shared" si="0"/>
        <v>103.30624601657105</v>
      </c>
      <c r="F30" s="68">
        <f t="shared" si="1"/>
        <v>415</v>
      </c>
      <c r="G30" s="14">
        <f t="shared" si="2"/>
        <v>107.39605764452543</v>
      </c>
      <c r="H30" s="17">
        <f t="shared" si="3"/>
        <v>893</v>
      </c>
    </row>
    <row r="31" spans="1:8" ht="18" customHeight="1" x14ac:dyDescent="0.2">
      <c r="A31" s="39" t="s">
        <v>30</v>
      </c>
      <c r="B31" s="40">
        <v>3484</v>
      </c>
      <c r="C31" s="40">
        <v>3386</v>
      </c>
      <c r="D31" s="44">
        <v>3946</v>
      </c>
      <c r="E31" s="82">
        <f t="shared" si="0"/>
        <v>113.26061997703789</v>
      </c>
      <c r="F31" s="68">
        <f t="shared" si="1"/>
        <v>462</v>
      </c>
      <c r="G31" s="14">
        <f t="shared" si="2"/>
        <v>116.53868871825162</v>
      </c>
      <c r="H31" s="17">
        <f t="shared" si="3"/>
        <v>560</v>
      </c>
    </row>
    <row r="32" spans="1:8" ht="18" customHeight="1" x14ac:dyDescent="0.2">
      <c r="A32" s="39" t="s">
        <v>31</v>
      </c>
      <c r="B32" s="40">
        <v>2194</v>
      </c>
      <c r="C32" s="40">
        <v>2157</v>
      </c>
      <c r="D32" s="44">
        <v>2101</v>
      </c>
      <c r="E32" s="82">
        <f t="shared" si="0"/>
        <v>95.761166818596166</v>
      </c>
      <c r="F32" s="68">
        <f t="shared" si="1"/>
        <v>-93</v>
      </c>
      <c r="G32" s="14">
        <f t="shared" si="2"/>
        <v>97.403801576263334</v>
      </c>
      <c r="H32" s="17">
        <f t="shared" si="3"/>
        <v>-56</v>
      </c>
    </row>
    <row r="33" spans="1:8" ht="18" customHeight="1" x14ac:dyDescent="0.2">
      <c r="A33" s="39" t="s">
        <v>32</v>
      </c>
      <c r="B33" s="40">
        <v>1378</v>
      </c>
      <c r="C33" s="40">
        <v>1375</v>
      </c>
      <c r="D33" s="44">
        <v>1475</v>
      </c>
      <c r="E33" s="82">
        <f t="shared" si="0"/>
        <v>107.03918722786648</v>
      </c>
      <c r="F33" s="68">
        <f t="shared" si="1"/>
        <v>97</v>
      </c>
      <c r="G33" s="14">
        <f t="shared" si="2"/>
        <v>107.27272727272728</v>
      </c>
      <c r="H33" s="17">
        <f t="shared" si="3"/>
        <v>100</v>
      </c>
    </row>
    <row r="34" spans="1:8" ht="18" customHeight="1" x14ac:dyDescent="0.2">
      <c r="A34" s="39" t="s">
        <v>33</v>
      </c>
      <c r="B34" s="40">
        <v>5902</v>
      </c>
      <c r="C34" s="40">
        <v>5727</v>
      </c>
      <c r="D34" s="44">
        <v>6104</v>
      </c>
      <c r="E34" s="82">
        <f t="shared" si="0"/>
        <v>103.4225686208065</v>
      </c>
      <c r="F34" s="68">
        <f t="shared" si="1"/>
        <v>202</v>
      </c>
      <c r="G34" s="14">
        <f t="shared" si="2"/>
        <v>106.5828531517374</v>
      </c>
      <c r="H34" s="17">
        <f t="shared" si="3"/>
        <v>377</v>
      </c>
    </row>
    <row r="35" spans="1:8" ht="18" customHeight="1" x14ac:dyDescent="0.2">
      <c r="A35" s="39" t="s">
        <v>34</v>
      </c>
      <c r="B35" s="40">
        <v>2923</v>
      </c>
      <c r="C35" s="40">
        <v>2797</v>
      </c>
      <c r="D35" s="44">
        <v>3019</v>
      </c>
      <c r="E35" s="82">
        <f t="shared" si="0"/>
        <v>103.28429695518304</v>
      </c>
      <c r="F35" s="68">
        <f t="shared" si="1"/>
        <v>96</v>
      </c>
      <c r="G35" s="14">
        <f t="shared" si="2"/>
        <v>107.93707543796924</v>
      </c>
      <c r="H35" s="17">
        <f t="shared" si="3"/>
        <v>222</v>
      </c>
    </row>
    <row r="36" spans="1:8" ht="18" customHeight="1" x14ac:dyDescent="0.2">
      <c r="A36" s="39" t="s">
        <v>35</v>
      </c>
      <c r="B36" s="40">
        <v>15532</v>
      </c>
      <c r="C36" s="40">
        <v>15261</v>
      </c>
      <c r="D36" s="44">
        <v>18693</v>
      </c>
      <c r="E36" s="82">
        <f t="shared" si="0"/>
        <v>120.35153232037086</v>
      </c>
      <c r="F36" s="68">
        <f t="shared" si="1"/>
        <v>3161</v>
      </c>
      <c r="G36" s="14">
        <f t="shared" si="2"/>
        <v>122.48869667780617</v>
      </c>
      <c r="H36" s="17">
        <f t="shared" si="3"/>
        <v>3432</v>
      </c>
    </row>
    <row r="37" spans="1:8" ht="18" customHeight="1" x14ac:dyDescent="0.2">
      <c r="A37" s="39" t="s">
        <v>36</v>
      </c>
      <c r="B37" s="40">
        <v>4314</v>
      </c>
      <c r="C37" s="40">
        <v>4221</v>
      </c>
      <c r="D37" s="44">
        <v>5353</v>
      </c>
      <c r="E37" s="82">
        <f t="shared" si="0"/>
        <v>124.08437644877144</v>
      </c>
      <c r="F37" s="68">
        <f t="shared" si="1"/>
        <v>1039</v>
      </c>
      <c r="G37" s="14">
        <f t="shared" si="2"/>
        <v>126.81828950485668</v>
      </c>
      <c r="H37" s="17">
        <f t="shared" si="3"/>
        <v>1132</v>
      </c>
    </row>
    <row r="38" spans="1:8" ht="18" customHeight="1" x14ac:dyDescent="0.2">
      <c r="A38" s="39" t="s">
        <v>58</v>
      </c>
      <c r="B38" s="40">
        <v>5257</v>
      </c>
      <c r="C38" s="40">
        <v>5201</v>
      </c>
      <c r="D38" s="44">
        <v>5529</v>
      </c>
      <c r="E38" s="82">
        <f t="shared" si="0"/>
        <v>105.17405364276202</v>
      </c>
      <c r="F38" s="68">
        <f t="shared" si="1"/>
        <v>272</v>
      </c>
      <c r="G38" s="14">
        <f t="shared" si="2"/>
        <v>106.30647952316863</v>
      </c>
      <c r="H38" s="17">
        <f t="shared" si="3"/>
        <v>328</v>
      </c>
    </row>
    <row r="39" spans="1:8" ht="18" customHeight="1" x14ac:dyDescent="0.2">
      <c r="A39" s="39" t="s">
        <v>38</v>
      </c>
      <c r="B39" s="40">
        <v>12662</v>
      </c>
      <c r="C39" s="40">
        <v>12513</v>
      </c>
      <c r="D39" s="44">
        <v>13566</v>
      </c>
      <c r="E39" s="82">
        <f t="shared" si="0"/>
        <v>107.13947243721371</v>
      </c>
      <c r="F39" s="68">
        <f t="shared" si="1"/>
        <v>904</v>
      </c>
      <c r="G39" s="14">
        <f t="shared" si="2"/>
        <v>108.41524814193239</v>
      </c>
      <c r="H39" s="17">
        <f t="shared" si="3"/>
        <v>1053</v>
      </c>
    </row>
    <row r="40" spans="1:8" ht="18" customHeight="1" x14ac:dyDescent="0.2">
      <c r="A40" s="39" t="s">
        <v>39</v>
      </c>
      <c r="B40" s="40">
        <v>5800</v>
      </c>
      <c r="C40" s="40">
        <v>5773</v>
      </c>
      <c r="D40" s="44">
        <v>5894</v>
      </c>
      <c r="E40" s="82">
        <f t="shared" si="0"/>
        <v>101.62068965517241</v>
      </c>
      <c r="F40" s="68">
        <f t="shared" si="1"/>
        <v>94</v>
      </c>
      <c r="G40" s="14">
        <f t="shared" si="2"/>
        <v>102.09596397020613</v>
      </c>
      <c r="H40" s="17">
        <f t="shared" si="3"/>
        <v>121</v>
      </c>
    </row>
    <row r="41" spans="1:8" ht="18" customHeight="1" x14ac:dyDescent="0.2">
      <c r="A41" s="39" t="s">
        <v>40</v>
      </c>
      <c r="B41" s="40">
        <v>3777</v>
      </c>
      <c r="C41" s="40">
        <v>3786</v>
      </c>
      <c r="D41" s="44">
        <v>5714</v>
      </c>
      <c r="E41" s="82">
        <f t="shared" si="0"/>
        <v>151.28408790045009</v>
      </c>
      <c r="F41" s="68">
        <f t="shared" si="1"/>
        <v>1937</v>
      </c>
      <c r="G41" s="14">
        <f t="shared" si="2"/>
        <v>150.92445853143158</v>
      </c>
      <c r="H41" s="17">
        <f t="shared" si="3"/>
        <v>1928</v>
      </c>
    </row>
    <row r="42" spans="1:8" ht="18" customHeight="1" x14ac:dyDescent="0.2">
      <c r="A42" s="39" t="s">
        <v>41</v>
      </c>
      <c r="B42" s="40">
        <v>5511</v>
      </c>
      <c r="C42" s="40">
        <v>5520</v>
      </c>
      <c r="D42" s="44">
        <v>6794</v>
      </c>
      <c r="E42" s="82">
        <f t="shared" si="0"/>
        <v>123.2807113046634</v>
      </c>
      <c r="F42" s="68">
        <f t="shared" si="1"/>
        <v>1283</v>
      </c>
      <c r="G42" s="14">
        <f t="shared" si="2"/>
        <v>123.07971014492753</v>
      </c>
      <c r="H42" s="17">
        <f t="shared" si="3"/>
        <v>1274</v>
      </c>
    </row>
    <row r="43" spans="1:8" ht="18" customHeight="1" x14ac:dyDescent="0.2">
      <c r="A43" s="39" t="s">
        <v>42</v>
      </c>
      <c r="B43" s="40">
        <v>22581</v>
      </c>
      <c r="C43" s="40">
        <v>21913</v>
      </c>
      <c r="D43" s="44">
        <v>24924</v>
      </c>
      <c r="E43" s="82">
        <f t="shared" si="0"/>
        <v>110.37597980603162</v>
      </c>
      <c r="F43" s="68">
        <f t="shared" si="1"/>
        <v>2343</v>
      </c>
      <c r="G43" s="14">
        <f t="shared" si="2"/>
        <v>113.74070186647197</v>
      </c>
      <c r="H43" s="17">
        <f t="shared" si="3"/>
        <v>3011</v>
      </c>
    </row>
    <row r="44" spans="1:8" ht="18" customHeight="1" x14ac:dyDescent="0.2">
      <c r="A44" s="39" t="s">
        <v>43</v>
      </c>
      <c r="B44" s="40">
        <v>8410</v>
      </c>
      <c r="C44" s="40">
        <v>8383</v>
      </c>
      <c r="D44" s="44">
        <v>9605</v>
      </c>
      <c r="E44" s="82">
        <f t="shared" si="0"/>
        <v>114.20927467300832</v>
      </c>
      <c r="F44" s="68">
        <f t="shared" si="1"/>
        <v>1195</v>
      </c>
      <c r="G44" s="14">
        <f t="shared" si="2"/>
        <v>114.57712036263868</v>
      </c>
      <c r="H44" s="17">
        <f t="shared" si="3"/>
        <v>1222</v>
      </c>
    </row>
    <row r="45" spans="1:8" ht="18" customHeight="1" x14ac:dyDescent="0.2">
      <c r="A45" s="39" t="s">
        <v>44</v>
      </c>
      <c r="B45" s="40">
        <v>2150</v>
      </c>
      <c r="C45" s="40">
        <v>2065</v>
      </c>
      <c r="D45" s="44">
        <v>2380</v>
      </c>
      <c r="E45" s="82">
        <f t="shared" si="0"/>
        <v>110.69767441860465</v>
      </c>
      <c r="F45" s="68">
        <f t="shared" si="1"/>
        <v>230</v>
      </c>
      <c r="G45" s="14">
        <f t="shared" si="2"/>
        <v>115.2542372881356</v>
      </c>
      <c r="H45" s="17">
        <f t="shared" si="3"/>
        <v>315</v>
      </c>
    </row>
    <row r="46" spans="1:8" ht="18" customHeight="1" x14ac:dyDescent="0.2">
      <c r="A46" s="39" t="s">
        <v>45</v>
      </c>
      <c r="B46" s="40">
        <v>8749</v>
      </c>
      <c r="C46" s="40">
        <v>8627</v>
      </c>
      <c r="D46" s="44">
        <v>10052</v>
      </c>
      <c r="E46" s="82">
        <f t="shared" si="0"/>
        <v>114.8931306435021</v>
      </c>
      <c r="F46" s="68">
        <f t="shared" si="1"/>
        <v>1303</v>
      </c>
      <c r="G46" s="14">
        <f t="shared" si="2"/>
        <v>116.51790889069203</v>
      </c>
      <c r="H46" s="17">
        <f t="shared" si="3"/>
        <v>1425</v>
      </c>
    </row>
    <row r="47" spans="1:8" ht="18" customHeight="1" x14ac:dyDescent="0.2">
      <c r="A47" s="39" t="s">
        <v>46</v>
      </c>
      <c r="B47" s="40">
        <v>2254</v>
      </c>
      <c r="C47" s="40">
        <v>2211</v>
      </c>
      <c r="D47" s="44">
        <v>2627</v>
      </c>
      <c r="E47" s="82">
        <f t="shared" si="0"/>
        <v>116.54835847382432</v>
      </c>
      <c r="F47" s="68">
        <f t="shared" si="1"/>
        <v>373</v>
      </c>
      <c r="G47" s="14">
        <f t="shared" si="2"/>
        <v>118.8150158299412</v>
      </c>
      <c r="H47" s="83">
        <f t="shared" si="3"/>
        <v>416</v>
      </c>
    </row>
    <row r="48" spans="1:8" ht="18" customHeight="1" x14ac:dyDescent="0.2">
      <c r="A48" s="47" t="s">
        <v>47</v>
      </c>
      <c r="B48" s="48">
        <f>SUM(B12:B47)</f>
        <v>348521</v>
      </c>
      <c r="C48" s="48">
        <f>SUM(C12:C47)</f>
        <v>338470</v>
      </c>
      <c r="D48" s="48">
        <f>SUM(D12:D47)</f>
        <v>381442</v>
      </c>
      <c r="E48" s="84">
        <f t="shared" si="0"/>
        <v>109.44591574108877</v>
      </c>
      <c r="F48" s="21">
        <f t="shared" si="1"/>
        <v>32921</v>
      </c>
      <c r="G48" s="20">
        <f t="shared" si="2"/>
        <v>112.69595532838952</v>
      </c>
      <c r="H48" s="21">
        <f t="shared" si="3"/>
        <v>42972</v>
      </c>
    </row>
    <row r="49" spans="1:8" ht="18" customHeight="1" x14ac:dyDescent="0.2">
      <c r="A49" s="50" t="s">
        <v>59</v>
      </c>
      <c r="B49" s="51">
        <v>0</v>
      </c>
      <c r="C49" s="51">
        <v>-8</v>
      </c>
      <c r="D49" s="51">
        <v>-6</v>
      </c>
      <c r="E49" s="84">
        <v>0</v>
      </c>
      <c r="F49" s="21">
        <f t="shared" si="1"/>
        <v>-6</v>
      </c>
      <c r="G49" s="20">
        <f t="shared" si="2"/>
        <v>75</v>
      </c>
      <c r="H49" s="21">
        <f t="shared" si="3"/>
        <v>2</v>
      </c>
    </row>
    <row r="50" spans="1:8" ht="19.5" customHeight="1" x14ac:dyDescent="0.2">
      <c r="A50" s="54" t="s">
        <v>70</v>
      </c>
      <c r="B50" s="55">
        <f>+B48+B49</f>
        <v>348521</v>
      </c>
      <c r="C50" s="55">
        <f>+C48+C49</f>
        <v>338462</v>
      </c>
      <c r="D50" s="55">
        <f>+D48+D49</f>
        <v>381436</v>
      </c>
      <c r="E50" s="84">
        <f t="shared" si="0"/>
        <v>109.44419418055153</v>
      </c>
      <c r="F50" s="21">
        <f t="shared" si="1"/>
        <v>32915</v>
      </c>
      <c r="G50" s="20">
        <f t="shared" si="2"/>
        <v>112.69684632248229</v>
      </c>
      <c r="H50" s="21">
        <f t="shared" si="3"/>
        <v>42974</v>
      </c>
    </row>
    <row r="51" spans="1:8" x14ac:dyDescent="0.2">
      <c r="A51" s="56"/>
      <c r="B51" s="56"/>
      <c r="C51" s="56"/>
      <c r="D51" s="56"/>
      <c r="E51" s="56"/>
      <c r="F51" s="85"/>
      <c r="G51" s="56"/>
    </row>
    <row r="99" ht="19.5" customHeight="1" x14ac:dyDescent="0.2"/>
  </sheetData>
  <dataConsolidate/>
  <mergeCells count="1">
    <mergeCell ref="A5:G5"/>
  </mergeCells>
  <pageMargins left="0.59055118110236227" right="0.27559055118110237" top="0.47244094488188981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1"/>
  <sheetViews>
    <sheetView topLeftCell="A31" workbookViewId="0">
      <selection activeCell="H6" sqref="A6:H53"/>
    </sheetView>
  </sheetViews>
  <sheetFormatPr defaultRowHeight="18" customHeight="1" x14ac:dyDescent="0.2"/>
  <cols>
    <col min="1" max="1" width="23.7109375" style="57" customWidth="1"/>
    <col min="2" max="4" width="16.28515625" style="57" customWidth="1"/>
    <col min="5" max="8" width="12.140625" style="57" customWidth="1"/>
    <col min="9" max="16384" width="9.140625" style="57"/>
  </cols>
  <sheetData>
    <row r="3" spans="1:8" ht="18" customHeight="1" x14ac:dyDescent="0.2">
      <c r="A3" s="28" t="s">
        <v>62</v>
      </c>
      <c r="B3" s="29"/>
      <c r="C3" s="29"/>
      <c r="D3" s="29"/>
      <c r="E3" s="29"/>
      <c r="F3" s="29"/>
    </row>
    <row r="4" spans="1:8" ht="18" customHeight="1" x14ac:dyDescent="0.2">
      <c r="A4" s="4" t="s">
        <v>63</v>
      </c>
      <c r="B4" s="29"/>
      <c r="C4" s="29"/>
      <c r="D4" s="29"/>
      <c r="E4" s="29"/>
      <c r="F4" s="29"/>
    </row>
    <row r="5" spans="1:8" ht="18" customHeight="1" x14ac:dyDescent="0.2">
      <c r="A5" s="29"/>
      <c r="B5" s="29"/>
      <c r="C5" s="29"/>
      <c r="D5" s="29"/>
      <c r="E5" s="29"/>
      <c r="F5" s="29"/>
    </row>
    <row r="6" spans="1:8" ht="18" customHeight="1" x14ac:dyDescent="0.25">
      <c r="A6" s="30"/>
      <c r="B6" s="30"/>
      <c r="C6" s="30"/>
      <c r="D6" s="30"/>
      <c r="E6" s="31"/>
      <c r="F6" s="31"/>
      <c r="H6" s="32" t="s">
        <v>3</v>
      </c>
    </row>
    <row r="7" spans="1:8" ht="44.25" customHeight="1" x14ac:dyDescent="0.2">
      <c r="A7" s="58" t="s">
        <v>4</v>
      </c>
      <c r="B7" s="59" t="s">
        <v>5</v>
      </c>
      <c r="C7" s="59" t="s">
        <v>54</v>
      </c>
      <c r="D7" s="59" t="s">
        <v>55</v>
      </c>
      <c r="E7" s="9" t="s">
        <v>56</v>
      </c>
      <c r="F7" s="60" t="s">
        <v>67</v>
      </c>
      <c r="G7" s="9" t="s">
        <v>57</v>
      </c>
      <c r="H7" s="60" t="s">
        <v>9</v>
      </c>
    </row>
    <row r="8" spans="1:8" ht="18" customHeight="1" x14ac:dyDescent="0.2">
      <c r="A8" s="36" t="s">
        <v>10</v>
      </c>
      <c r="B8" s="37">
        <v>1</v>
      </c>
      <c r="C8" s="37">
        <v>2</v>
      </c>
      <c r="D8" s="37">
        <v>3</v>
      </c>
      <c r="E8" s="37">
        <v>4</v>
      </c>
      <c r="F8" s="37">
        <v>5</v>
      </c>
      <c r="G8" s="61">
        <v>6</v>
      </c>
      <c r="H8" s="61">
        <v>7</v>
      </c>
    </row>
    <row r="9" spans="1:8" ht="18" customHeight="1" x14ac:dyDescent="0.2">
      <c r="A9" s="39" t="s">
        <v>11</v>
      </c>
      <c r="B9" s="40">
        <v>2366</v>
      </c>
      <c r="C9" s="40">
        <v>2135</v>
      </c>
      <c r="D9" s="62">
        <v>2296</v>
      </c>
      <c r="E9" s="14">
        <f>+D9/B9*100</f>
        <v>97.041420118343197</v>
      </c>
      <c r="F9" s="68">
        <f>+D9-B9</f>
        <v>-70</v>
      </c>
      <c r="G9" s="45">
        <f>+D9/C9*100</f>
        <v>107.54098360655738</v>
      </c>
      <c r="H9" s="63">
        <f>+D9-C9</f>
        <v>161</v>
      </c>
    </row>
    <row r="10" spans="1:8" ht="18" customHeight="1" x14ac:dyDescent="0.2">
      <c r="A10" s="39" t="s">
        <v>12</v>
      </c>
      <c r="B10" s="40">
        <v>878</v>
      </c>
      <c r="C10" s="40">
        <v>758</v>
      </c>
      <c r="D10" s="44">
        <v>501</v>
      </c>
      <c r="E10" s="14">
        <f t="shared" ref="E10:E49" si="0">+D10/B10*100</f>
        <v>57.061503416856496</v>
      </c>
      <c r="F10" s="68">
        <f t="shared" ref="F10:F49" si="1">+D10-B10</f>
        <v>-377</v>
      </c>
      <c r="G10" s="45">
        <f t="shared" ref="G10:G49" si="2">+D10/C10*100</f>
        <v>66.094986807387869</v>
      </c>
      <c r="H10" s="64">
        <f t="shared" ref="H10:H49" si="3">+D10-C10</f>
        <v>-257</v>
      </c>
    </row>
    <row r="11" spans="1:8" ht="18" customHeight="1" x14ac:dyDescent="0.2">
      <c r="A11" s="39" t="s">
        <v>13</v>
      </c>
      <c r="B11" s="40">
        <v>235</v>
      </c>
      <c r="C11" s="40">
        <v>207</v>
      </c>
      <c r="D11" s="44">
        <v>215</v>
      </c>
      <c r="E11" s="14">
        <f t="shared" si="0"/>
        <v>91.489361702127653</v>
      </c>
      <c r="F11" s="68">
        <f t="shared" si="1"/>
        <v>-20</v>
      </c>
      <c r="G11" s="45">
        <f t="shared" si="2"/>
        <v>103.8647342995169</v>
      </c>
      <c r="H11" s="64">
        <f t="shared" si="3"/>
        <v>8</v>
      </c>
    </row>
    <row r="12" spans="1:8" ht="18" customHeight="1" x14ac:dyDescent="0.2">
      <c r="A12" s="39" t="s">
        <v>14</v>
      </c>
      <c r="B12" s="40">
        <v>433</v>
      </c>
      <c r="C12" s="40">
        <v>383</v>
      </c>
      <c r="D12" s="44">
        <v>390</v>
      </c>
      <c r="E12" s="14">
        <f t="shared" si="0"/>
        <v>90.069284064665126</v>
      </c>
      <c r="F12" s="68">
        <f t="shared" si="1"/>
        <v>-43</v>
      </c>
      <c r="G12" s="45">
        <f t="shared" si="2"/>
        <v>101.82767624020887</v>
      </c>
      <c r="H12" s="64">
        <f t="shared" si="3"/>
        <v>7</v>
      </c>
    </row>
    <row r="13" spans="1:8" ht="18" customHeight="1" x14ac:dyDescent="0.2">
      <c r="A13" s="39" t="s">
        <v>15</v>
      </c>
      <c r="B13" s="40">
        <v>275</v>
      </c>
      <c r="C13" s="40">
        <v>229</v>
      </c>
      <c r="D13" s="44">
        <v>322</v>
      </c>
      <c r="E13" s="14">
        <f t="shared" si="0"/>
        <v>117.09090909090909</v>
      </c>
      <c r="F13" s="68">
        <f t="shared" si="1"/>
        <v>47</v>
      </c>
      <c r="G13" s="45">
        <f t="shared" si="2"/>
        <v>140.6113537117904</v>
      </c>
      <c r="H13" s="64">
        <f t="shared" si="3"/>
        <v>93</v>
      </c>
    </row>
    <row r="14" spans="1:8" ht="18" customHeight="1" x14ac:dyDescent="0.2">
      <c r="A14" s="39" t="s">
        <v>16</v>
      </c>
      <c r="B14" s="40">
        <v>520</v>
      </c>
      <c r="C14" s="40">
        <v>441</v>
      </c>
      <c r="D14" s="44">
        <v>429</v>
      </c>
      <c r="E14" s="14">
        <f t="shared" si="0"/>
        <v>82.5</v>
      </c>
      <c r="F14" s="68">
        <f t="shared" si="1"/>
        <v>-91</v>
      </c>
      <c r="G14" s="45">
        <f t="shared" si="2"/>
        <v>97.278911564625844</v>
      </c>
      <c r="H14" s="64">
        <f t="shared" si="3"/>
        <v>-12</v>
      </c>
    </row>
    <row r="15" spans="1:8" ht="18" customHeight="1" x14ac:dyDescent="0.2">
      <c r="A15" s="39" t="s">
        <v>17</v>
      </c>
      <c r="B15" s="40">
        <v>600</v>
      </c>
      <c r="C15" s="40">
        <v>691</v>
      </c>
      <c r="D15" s="44">
        <v>603</v>
      </c>
      <c r="E15" s="14">
        <f t="shared" si="0"/>
        <v>100.49999999999999</v>
      </c>
      <c r="F15" s="68">
        <f t="shared" si="1"/>
        <v>3</v>
      </c>
      <c r="G15" s="45">
        <f t="shared" si="2"/>
        <v>87.264833574529661</v>
      </c>
      <c r="H15" s="64">
        <f t="shared" si="3"/>
        <v>-88</v>
      </c>
    </row>
    <row r="16" spans="1:8" ht="18" customHeight="1" x14ac:dyDescent="0.2">
      <c r="A16" s="39" t="s">
        <v>18</v>
      </c>
      <c r="B16" s="40">
        <v>1831</v>
      </c>
      <c r="C16" s="40">
        <v>1644</v>
      </c>
      <c r="D16" s="44">
        <v>1843</v>
      </c>
      <c r="E16" s="14">
        <f t="shared" si="0"/>
        <v>100.65537957400328</v>
      </c>
      <c r="F16" s="68">
        <f t="shared" si="1"/>
        <v>12</v>
      </c>
      <c r="G16" s="45">
        <f t="shared" si="2"/>
        <v>112.10462287104623</v>
      </c>
      <c r="H16" s="64">
        <f t="shared" si="3"/>
        <v>199</v>
      </c>
    </row>
    <row r="17" spans="1:8" ht="18" customHeight="1" x14ac:dyDescent="0.2">
      <c r="A17" s="39" t="s">
        <v>19</v>
      </c>
      <c r="B17" s="40">
        <v>891</v>
      </c>
      <c r="C17" s="40">
        <v>759</v>
      </c>
      <c r="D17" s="44">
        <v>442</v>
      </c>
      <c r="E17" s="14">
        <f t="shared" si="0"/>
        <v>49.607182940516275</v>
      </c>
      <c r="F17" s="68">
        <f t="shared" si="1"/>
        <v>-449</v>
      </c>
      <c r="G17" s="45">
        <f t="shared" si="2"/>
        <v>58.234519104084328</v>
      </c>
      <c r="H17" s="64">
        <f t="shared" si="3"/>
        <v>-317</v>
      </c>
    </row>
    <row r="18" spans="1:8" ht="18" customHeight="1" x14ac:dyDescent="0.2">
      <c r="A18" s="39" t="s">
        <v>20</v>
      </c>
      <c r="B18" s="40">
        <v>113</v>
      </c>
      <c r="C18" s="40">
        <v>90</v>
      </c>
      <c r="D18" s="44">
        <v>91</v>
      </c>
      <c r="E18" s="14">
        <f t="shared" si="0"/>
        <v>80.530973451327441</v>
      </c>
      <c r="F18" s="68">
        <f t="shared" si="1"/>
        <v>-22</v>
      </c>
      <c r="G18" s="45">
        <f t="shared" si="2"/>
        <v>101.11111111111111</v>
      </c>
      <c r="H18" s="64">
        <f t="shared" si="3"/>
        <v>1</v>
      </c>
    </row>
    <row r="19" spans="1:8" ht="18" customHeight="1" x14ac:dyDescent="0.2">
      <c r="A19" s="39" t="s">
        <v>21</v>
      </c>
      <c r="B19" s="40">
        <v>368</v>
      </c>
      <c r="C19" s="40">
        <v>291</v>
      </c>
      <c r="D19" s="44">
        <v>251</v>
      </c>
      <c r="E19" s="14">
        <f t="shared" si="0"/>
        <v>68.206521739130437</v>
      </c>
      <c r="F19" s="68">
        <f t="shared" si="1"/>
        <v>-117</v>
      </c>
      <c r="G19" s="45">
        <f t="shared" si="2"/>
        <v>86.254295532646054</v>
      </c>
      <c r="H19" s="64">
        <f t="shared" si="3"/>
        <v>-40</v>
      </c>
    </row>
    <row r="20" spans="1:8" ht="18" customHeight="1" x14ac:dyDescent="0.2">
      <c r="A20" s="39" t="s">
        <v>22</v>
      </c>
      <c r="B20" s="40">
        <v>209</v>
      </c>
      <c r="C20" s="40">
        <v>187</v>
      </c>
      <c r="D20" s="44">
        <v>163</v>
      </c>
      <c r="E20" s="14">
        <f t="shared" si="0"/>
        <v>77.990430622009569</v>
      </c>
      <c r="F20" s="68">
        <f t="shared" si="1"/>
        <v>-46</v>
      </c>
      <c r="G20" s="45">
        <f t="shared" si="2"/>
        <v>87.165775401069524</v>
      </c>
      <c r="H20" s="64">
        <f t="shared" si="3"/>
        <v>-24</v>
      </c>
    </row>
    <row r="21" spans="1:8" ht="18" customHeight="1" x14ac:dyDescent="0.2">
      <c r="A21" s="39" t="s">
        <v>23</v>
      </c>
      <c r="B21" s="40">
        <v>438</v>
      </c>
      <c r="C21" s="40">
        <v>362</v>
      </c>
      <c r="D21" s="44">
        <v>457</v>
      </c>
      <c r="E21" s="14">
        <f t="shared" si="0"/>
        <v>104.337899543379</v>
      </c>
      <c r="F21" s="68">
        <f t="shared" si="1"/>
        <v>19</v>
      </c>
      <c r="G21" s="45">
        <f t="shared" si="2"/>
        <v>126.24309392265194</v>
      </c>
      <c r="H21" s="64">
        <f t="shared" si="3"/>
        <v>95</v>
      </c>
    </row>
    <row r="22" spans="1:8" ht="18" customHeight="1" x14ac:dyDescent="0.2">
      <c r="A22" s="39" t="s">
        <v>24</v>
      </c>
      <c r="B22" s="40">
        <v>807</v>
      </c>
      <c r="C22" s="40">
        <v>698</v>
      </c>
      <c r="D22" s="44">
        <v>737</v>
      </c>
      <c r="E22" s="14">
        <f t="shared" si="0"/>
        <v>91.325898389095414</v>
      </c>
      <c r="F22" s="68">
        <f t="shared" si="1"/>
        <v>-70</v>
      </c>
      <c r="G22" s="45">
        <f t="shared" si="2"/>
        <v>105.58739255014326</v>
      </c>
      <c r="H22" s="64">
        <f t="shared" si="3"/>
        <v>39</v>
      </c>
    </row>
    <row r="23" spans="1:8" ht="18" customHeight="1" x14ac:dyDescent="0.2">
      <c r="A23" s="39" t="s">
        <v>25</v>
      </c>
      <c r="B23" s="40">
        <v>234</v>
      </c>
      <c r="C23" s="40">
        <v>223</v>
      </c>
      <c r="D23" s="44">
        <v>181</v>
      </c>
      <c r="E23" s="14">
        <f t="shared" si="0"/>
        <v>77.350427350427353</v>
      </c>
      <c r="F23" s="68">
        <f t="shared" si="1"/>
        <v>-53</v>
      </c>
      <c r="G23" s="45">
        <f t="shared" si="2"/>
        <v>81.165919282511211</v>
      </c>
      <c r="H23" s="64">
        <f t="shared" si="3"/>
        <v>-42</v>
      </c>
    </row>
    <row r="24" spans="1:8" ht="18" customHeight="1" x14ac:dyDescent="0.2">
      <c r="A24" s="39" t="s">
        <v>26</v>
      </c>
      <c r="B24" s="40">
        <v>175</v>
      </c>
      <c r="C24" s="40">
        <v>163</v>
      </c>
      <c r="D24" s="44">
        <v>253</v>
      </c>
      <c r="E24" s="14">
        <f t="shared" si="0"/>
        <v>144.57142857142858</v>
      </c>
      <c r="F24" s="68">
        <f t="shared" si="1"/>
        <v>78</v>
      </c>
      <c r="G24" s="45">
        <f t="shared" si="2"/>
        <v>155.21472392638037</v>
      </c>
      <c r="H24" s="64">
        <f t="shared" si="3"/>
        <v>90</v>
      </c>
    </row>
    <row r="25" spans="1:8" ht="18" customHeight="1" x14ac:dyDescent="0.2">
      <c r="A25" s="39" t="s">
        <v>27</v>
      </c>
      <c r="B25" s="40">
        <v>383</v>
      </c>
      <c r="C25" s="40">
        <v>321</v>
      </c>
      <c r="D25" s="44">
        <v>407</v>
      </c>
      <c r="E25" s="14">
        <f t="shared" si="0"/>
        <v>106.26631853785902</v>
      </c>
      <c r="F25" s="68">
        <f t="shared" si="1"/>
        <v>24</v>
      </c>
      <c r="G25" s="45">
        <f t="shared" si="2"/>
        <v>126.79127725856698</v>
      </c>
      <c r="H25" s="64">
        <f t="shared" si="3"/>
        <v>86</v>
      </c>
    </row>
    <row r="26" spans="1:8" ht="18" customHeight="1" x14ac:dyDescent="0.2">
      <c r="A26" s="39" t="s">
        <v>28</v>
      </c>
      <c r="B26" s="40">
        <v>567</v>
      </c>
      <c r="C26" s="40">
        <v>461</v>
      </c>
      <c r="D26" s="44">
        <v>363</v>
      </c>
      <c r="E26" s="14">
        <f t="shared" si="0"/>
        <v>64.021164021164026</v>
      </c>
      <c r="F26" s="68">
        <f t="shared" si="1"/>
        <v>-204</v>
      </c>
      <c r="G26" s="45">
        <f t="shared" si="2"/>
        <v>78.741865509761382</v>
      </c>
      <c r="H26" s="64">
        <f t="shared" si="3"/>
        <v>-98</v>
      </c>
    </row>
    <row r="27" spans="1:8" ht="18" customHeight="1" x14ac:dyDescent="0.2">
      <c r="A27" s="39" t="s">
        <v>29</v>
      </c>
      <c r="B27" s="40">
        <v>1085</v>
      </c>
      <c r="C27" s="40">
        <v>965</v>
      </c>
      <c r="D27" s="44">
        <v>772</v>
      </c>
      <c r="E27" s="14">
        <f t="shared" si="0"/>
        <v>71.15207373271889</v>
      </c>
      <c r="F27" s="68">
        <f t="shared" si="1"/>
        <v>-313</v>
      </c>
      <c r="G27" s="45">
        <f t="shared" si="2"/>
        <v>80</v>
      </c>
      <c r="H27" s="64">
        <f t="shared" si="3"/>
        <v>-193</v>
      </c>
    </row>
    <row r="28" spans="1:8" ht="18" customHeight="1" x14ac:dyDescent="0.2">
      <c r="A28" s="39" t="s">
        <v>30</v>
      </c>
      <c r="B28" s="40">
        <v>1139</v>
      </c>
      <c r="C28" s="40">
        <v>955</v>
      </c>
      <c r="D28" s="44">
        <v>806</v>
      </c>
      <c r="E28" s="14">
        <f t="shared" si="0"/>
        <v>70.763827919227396</v>
      </c>
      <c r="F28" s="68">
        <f t="shared" si="1"/>
        <v>-333</v>
      </c>
      <c r="G28" s="45">
        <f t="shared" si="2"/>
        <v>84.397905759162313</v>
      </c>
      <c r="H28" s="64">
        <f t="shared" si="3"/>
        <v>-149</v>
      </c>
    </row>
    <row r="29" spans="1:8" ht="18" customHeight="1" x14ac:dyDescent="0.2">
      <c r="A29" s="39" t="s">
        <v>31</v>
      </c>
      <c r="B29" s="40">
        <v>89</v>
      </c>
      <c r="C29" s="40">
        <v>69</v>
      </c>
      <c r="D29" s="44">
        <v>116</v>
      </c>
      <c r="E29" s="14">
        <f t="shared" si="0"/>
        <v>130.3370786516854</v>
      </c>
      <c r="F29" s="68">
        <f t="shared" si="1"/>
        <v>27</v>
      </c>
      <c r="G29" s="45">
        <f t="shared" si="2"/>
        <v>168.1159420289855</v>
      </c>
      <c r="H29" s="64">
        <f t="shared" si="3"/>
        <v>47</v>
      </c>
    </row>
    <row r="30" spans="1:8" ht="18" customHeight="1" x14ac:dyDescent="0.2">
      <c r="A30" s="39" t="s">
        <v>32</v>
      </c>
      <c r="B30" s="40">
        <v>358</v>
      </c>
      <c r="C30" s="40">
        <v>332</v>
      </c>
      <c r="D30" s="44">
        <v>270</v>
      </c>
      <c r="E30" s="14">
        <f t="shared" si="0"/>
        <v>75.41899441340783</v>
      </c>
      <c r="F30" s="68">
        <f t="shared" si="1"/>
        <v>-88</v>
      </c>
      <c r="G30" s="45">
        <f t="shared" si="2"/>
        <v>81.325301204819283</v>
      </c>
      <c r="H30" s="64">
        <f t="shared" si="3"/>
        <v>-62</v>
      </c>
    </row>
    <row r="31" spans="1:8" ht="18" customHeight="1" x14ac:dyDescent="0.2">
      <c r="A31" s="39" t="s">
        <v>33</v>
      </c>
      <c r="B31" s="40">
        <v>450</v>
      </c>
      <c r="C31" s="40">
        <v>375</v>
      </c>
      <c r="D31" s="44">
        <v>311</v>
      </c>
      <c r="E31" s="14">
        <f t="shared" si="0"/>
        <v>69.111111111111114</v>
      </c>
      <c r="F31" s="68">
        <f t="shared" si="1"/>
        <v>-139</v>
      </c>
      <c r="G31" s="45">
        <f t="shared" si="2"/>
        <v>82.933333333333337</v>
      </c>
      <c r="H31" s="64">
        <f t="shared" si="3"/>
        <v>-64</v>
      </c>
    </row>
    <row r="32" spans="1:8" ht="18" customHeight="1" x14ac:dyDescent="0.2">
      <c r="A32" s="39" t="s">
        <v>34</v>
      </c>
      <c r="B32" s="40">
        <v>263</v>
      </c>
      <c r="C32" s="40">
        <v>213</v>
      </c>
      <c r="D32" s="44">
        <v>335</v>
      </c>
      <c r="E32" s="14">
        <f t="shared" si="0"/>
        <v>127.3764258555133</v>
      </c>
      <c r="F32" s="68">
        <f t="shared" si="1"/>
        <v>72</v>
      </c>
      <c r="G32" s="45">
        <f t="shared" si="2"/>
        <v>157.27699530516432</v>
      </c>
      <c r="H32" s="64">
        <f t="shared" si="3"/>
        <v>122</v>
      </c>
    </row>
    <row r="33" spans="1:8" ht="18" customHeight="1" x14ac:dyDescent="0.2">
      <c r="A33" s="39" t="s">
        <v>35</v>
      </c>
      <c r="B33" s="40">
        <v>533</v>
      </c>
      <c r="C33" s="40">
        <v>430</v>
      </c>
      <c r="D33" s="44">
        <v>555</v>
      </c>
      <c r="E33" s="14">
        <f t="shared" si="0"/>
        <v>104.12757973733584</v>
      </c>
      <c r="F33" s="68">
        <f t="shared" si="1"/>
        <v>22</v>
      </c>
      <c r="G33" s="45">
        <f t="shared" si="2"/>
        <v>129.06976744186048</v>
      </c>
      <c r="H33" s="64">
        <f t="shared" si="3"/>
        <v>125</v>
      </c>
    </row>
    <row r="34" spans="1:8" ht="18" customHeight="1" x14ac:dyDescent="0.2">
      <c r="A34" s="39" t="s">
        <v>36</v>
      </c>
      <c r="B34" s="40">
        <v>529</v>
      </c>
      <c r="C34" s="40">
        <v>401</v>
      </c>
      <c r="D34" s="44">
        <v>165</v>
      </c>
      <c r="E34" s="14">
        <f t="shared" si="0"/>
        <v>31.190926275992435</v>
      </c>
      <c r="F34" s="68">
        <f t="shared" si="1"/>
        <v>-364</v>
      </c>
      <c r="G34" s="45">
        <f t="shared" si="2"/>
        <v>41.147132169576061</v>
      </c>
      <c r="H34" s="64">
        <f t="shared" si="3"/>
        <v>-236</v>
      </c>
    </row>
    <row r="35" spans="1:8" ht="18" customHeight="1" x14ac:dyDescent="0.2">
      <c r="A35" s="39" t="s">
        <v>58</v>
      </c>
      <c r="B35" s="40">
        <v>404</v>
      </c>
      <c r="C35" s="40">
        <v>348</v>
      </c>
      <c r="D35" s="44">
        <v>730</v>
      </c>
      <c r="E35" s="14">
        <f t="shared" si="0"/>
        <v>180.69306930693071</v>
      </c>
      <c r="F35" s="68">
        <f t="shared" si="1"/>
        <v>326</v>
      </c>
      <c r="G35" s="45">
        <f t="shared" si="2"/>
        <v>209.77011494252875</v>
      </c>
      <c r="H35" s="64">
        <f t="shared" si="3"/>
        <v>382</v>
      </c>
    </row>
    <row r="36" spans="1:8" ht="18" customHeight="1" x14ac:dyDescent="0.2">
      <c r="A36" s="39" t="s">
        <v>38</v>
      </c>
      <c r="B36" s="40">
        <v>768</v>
      </c>
      <c r="C36" s="40">
        <v>635</v>
      </c>
      <c r="D36" s="44">
        <v>562</v>
      </c>
      <c r="E36" s="14">
        <f t="shared" si="0"/>
        <v>73.177083333333343</v>
      </c>
      <c r="F36" s="68">
        <f t="shared" si="1"/>
        <v>-206</v>
      </c>
      <c r="G36" s="45">
        <f t="shared" si="2"/>
        <v>88.503937007874015</v>
      </c>
      <c r="H36" s="64">
        <f t="shared" si="3"/>
        <v>-73</v>
      </c>
    </row>
    <row r="37" spans="1:8" ht="18" customHeight="1" x14ac:dyDescent="0.2">
      <c r="A37" s="39" t="s">
        <v>39</v>
      </c>
      <c r="B37" s="40">
        <v>117</v>
      </c>
      <c r="C37" s="40">
        <v>97</v>
      </c>
      <c r="D37" s="44">
        <v>77</v>
      </c>
      <c r="E37" s="14">
        <f t="shared" si="0"/>
        <v>65.811965811965806</v>
      </c>
      <c r="F37" s="68">
        <f t="shared" si="1"/>
        <v>-40</v>
      </c>
      <c r="G37" s="45">
        <f t="shared" si="2"/>
        <v>79.381443298969074</v>
      </c>
      <c r="H37" s="64">
        <f t="shared" si="3"/>
        <v>-20</v>
      </c>
    </row>
    <row r="38" spans="1:8" ht="18" customHeight="1" x14ac:dyDescent="0.2">
      <c r="A38" s="39" t="s">
        <v>40</v>
      </c>
      <c r="B38" s="40">
        <v>205</v>
      </c>
      <c r="C38" s="40">
        <v>170</v>
      </c>
      <c r="D38" s="44">
        <v>287</v>
      </c>
      <c r="E38" s="14">
        <f t="shared" si="0"/>
        <v>140</v>
      </c>
      <c r="F38" s="68">
        <f t="shared" si="1"/>
        <v>82</v>
      </c>
      <c r="G38" s="45">
        <f t="shared" si="2"/>
        <v>168.8235294117647</v>
      </c>
      <c r="H38" s="64">
        <f t="shared" si="3"/>
        <v>117</v>
      </c>
    </row>
    <row r="39" spans="1:8" ht="18" customHeight="1" x14ac:dyDescent="0.2">
      <c r="A39" s="39" t="s">
        <v>41</v>
      </c>
      <c r="B39" s="40">
        <v>217</v>
      </c>
      <c r="C39" s="40">
        <v>210</v>
      </c>
      <c r="D39" s="44">
        <v>282</v>
      </c>
      <c r="E39" s="14">
        <f t="shared" si="0"/>
        <v>129.95391705069125</v>
      </c>
      <c r="F39" s="68">
        <f t="shared" si="1"/>
        <v>65</v>
      </c>
      <c r="G39" s="45">
        <f t="shared" si="2"/>
        <v>134.28571428571428</v>
      </c>
      <c r="H39" s="64">
        <f t="shared" si="3"/>
        <v>72</v>
      </c>
    </row>
    <row r="40" spans="1:8" ht="18" customHeight="1" x14ac:dyDescent="0.2">
      <c r="A40" s="39" t="s">
        <v>42</v>
      </c>
      <c r="B40" s="40">
        <f>1349+101</f>
        <v>1450</v>
      </c>
      <c r="C40" s="40">
        <v>1622</v>
      </c>
      <c r="D40" s="44">
        <v>1623</v>
      </c>
      <c r="E40" s="14">
        <f t="shared" si="0"/>
        <v>111.93103448275863</v>
      </c>
      <c r="F40" s="68">
        <f t="shared" si="1"/>
        <v>173</v>
      </c>
      <c r="G40" s="45">
        <f t="shared" si="2"/>
        <v>100.0616522811344</v>
      </c>
      <c r="H40" s="64">
        <f t="shared" si="3"/>
        <v>1</v>
      </c>
    </row>
    <row r="41" spans="1:8" ht="18" customHeight="1" x14ac:dyDescent="0.2">
      <c r="A41" s="39" t="s">
        <v>43</v>
      </c>
      <c r="B41" s="40">
        <v>484</v>
      </c>
      <c r="C41" s="40">
        <v>419</v>
      </c>
      <c r="D41" s="44">
        <v>570</v>
      </c>
      <c r="E41" s="14">
        <f t="shared" si="0"/>
        <v>117.76859504132231</v>
      </c>
      <c r="F41" s="68">
        <f t="shared" si="1"/>
        <v>86</v>
      </c>
      <c r="G41" s="45">
        <f t="shared" si="2"/>
        <v>136.03818615751791</v>
      </c>
      <c r="H41" s="64">
        <f t="shared" si="3"/>
        <v>151</v>
      </c>
    </row>
    <row r="42" spans="1:8" ht="18" customHeight="1" x14ac:dyDescent="0.2">
      <c r="A42" s="39" t="s">
        <v>44</v>
      </c>
      <c r="B42" s="40">
        <v>599</v>
      </c>
      <c r="C42" s="40">
        <v>476</v>
      </c>
      <c r="D42" s="44">
        <v>480</v>
      </c>
      <c r="E42" s="14">
        <f t="shared" si="0"/>
        <v>80.133555926544247</v>
      </c>
      <c r="F42" s="68">
        <f t="shared" si="1"/>
        <v>-119</v>
      </c>
      <c r="G42" s="45">
        <f t="shared" si="2"/>
        <v>100.84033613445378</v>
      </c>
      <c r="H42" s="64">
        <f t="shared" si="3"/>
        <v>4</v>
      </c>
    </row>
    <row r="43" spans="1:8" ht="18" customHeight="1" x14ac:dyDescent="0.2">
      <c r="A43" s="39" t="s">
        <v>45</v>
      </c>
      <c r="B43" s="40">
        <v>707</v>
      </c>
      <c r="C43" s="40">
        <v>564</v>
      </c>
      <c r="D43" s="44">
        <v>613</v>
      </c>
      <c r="E43" s="14">
        <f t="shared" si="0"/>
        <v>86.704384724186696</v>
      </c>
      <c r="F43" s="68">
        <f t="shared" si="1"/>
        <v>-94</v>
      </c>
      <c r="G43" s="45">
        <f t="shared" si="2"/>
        <v>108.68794326241135</v>
      </c>
      <c r="H43" s="64">
        <f t="shared" si="3"/>
        <v>49</v>
      </c>
    </row>
    <row r="44" spans="1:8" ht="18" customHeight="1" x14ac:dyDescent="0.2">
      <c r="A44" s="39" t="s">
        <v>46</v>
      </c>
      <c r="B44" s="40">
        <v>172</v>
      </c>
      <c r="C44" s="40">
        <v>158</v>
      </c>
      <c r="D44" s="44">
        <v>157</v>
      </c>
      <c r="E44" s="14">
        <f t="shared" si="0"/>
        <v>91.279069767441854</v>
      </c>
      <c r="F44" s="68">
        <f t="shared" si="1"/>
        <v>-15</v>
      </c>
      <c r="G44" s="45">
        <f t="shared" si="2"/>
        <v>99.367088607594937</v>
      </c>
      <c r="H44" s="65">
        <f t="shared" si="3"/>
        <v>-1</v>
      </c>
    </row>
    <row r="45" spans="1:8" ht="18" customHeight="1" x14ac:dyDescent="0.2">
      <c r="A45" s="47" t="s">
        <v>47</v>
      </c>
      <c r="B45" s="48">
        <f t="shared" ref="B45:D45" si="4">SUM(B9:B44)</f>
        <v>20892</v>
      </c>
      <c r="C45" s="48">
        <f t="shared" si="4"/>
        <v>18482</v>
      </c>
      <c r="D45" s="48">
        <f t="shared" si="4"/>
        <v>18655</v>
      </c>
      <c r="E45" s="20">
        <f t="shared" si="0"/>
        <v>89.292552173080608</v>
      </c>
      <c r="F45" s="21">
        <f t="shared" si="1"/>
        <v>-2237</v>
      </c>
      <c r="G45" s="20">
        <f t="shared" si="2"/>
        <v>100.93604588248024</v>
      </c>
      <c r="H45" s="66">
        <f t="shared" si="3"/>
        <v>173</v>
      </c>
    </row>
    <row r="46" spans="1:8" ht="18" customHeight="1" x14ac:dyDescent="0.2">
      <c r="A46" s="50" t="s">
        <v>64</v>
      </c>
      <c r="B46" s="51">
        <v>21041</v>
      </c>
      <c r="C46" s="51">
        <v>20786</v>
      </c>
      <c r="D46" s="51">
        <v>22210</v>
      </c>
      <c r="E46" s="20">
        <f t="shared" si="0"/>
        <v>105.55581959032365</v>
      </c>
      <c r="F46" s="21">
        <f t="shared" si="1"/>
        <v>1169</v>
      </c>
      <c r="G46" s="45">
        <f t="shared" si="2"/>
        <v>106.85076493793899</v>
      </c>
      <c r="H46" s="66">
        <f t="shared" si="3"/>
        <v>1424</v>
      </c>
    </row>
    <row r="47" spans="1:8" ht="18" customHeight="1" x14ac:dyDescent="0.2">
      <c r="A47" s="50" t="s">
        <v>65</v>
      </c>
      <c r="B47" s="51">
        <v>2091</v>
      </c>
      <c r="C47" s="51">
        <v>1921</v>
      </c>
      <c r="D47" s="51">
        <v>2230</v>
      </c>
      <c r="E47" s="14">
        <f t="shared" si="0"/>
        <v>106.64753706360592</v>
      </c>
      <c r="F47" s="21">
        <f t="shared" si="1"/>
        <v>139</v>
      </c>
      <c r="G47" s="20">
        <f t="shared" si="2"/>
        <v>116.08537220197815</v>
      </c>
      <c r="H47" s="66">
        <f t="shared" si="3"/>
        <v>309</v>
      </c>
    </row>
    <row r="48" spans="1:8" ht="18" customHeight="1" x14ac:dyDescent="0.2">
      <c r="A48" s="50" t="s">
        <v>59</v>
      </c>
      <c r="B48" s="55">
        <v>0</v>
      </c>
      <c r="C48" s="55">
        <v>-65</v>
      </c>
      <c r="D48" s="55">
        <v>-111</v>
      </c>
      <c r="E48" s="67">
        <v>0</v>
      </c>
      <c r="F48" s="21">
        <f t="shared" si="1"/>
        <v>-111</v>
      </c>
      <c r="G48" s="20">
        <f t="shared" si="2"/>
        <v>170.76923076923077</v>
      </c>
      <c r="H48" s="66">
        <f t="shared" si="3"/>
        <v>-46</v>
      </c>
    </row>
    <row r="49" spans="1:8" ht="18" customHeight="1" x14ac:dyDescent="0.2">
      <c r="A49" s="54" t="s">
        <v>66</v>
      </c>
      <c r="B49" s="66">
        <f>SUM(B45:B48)</f>
        <v>44024</v>
      </c>
      <c r="C49" s="66">
        <v>41124</v>
      </c>
      <c r="D49" s="66">
        <f>SUM(D45:D48)</f>
        <v>42984</v>
      </c>
      <c r="E49" s="20">
        <f t="shared" si="0"/>
        <v>97.6376521897147</v>
      </c>
      <c r="F49" s="21">
        <f t="shared" si="1"/>
        <v>-1040</v>
      </c>
      <c r="G49" s="20">
        <f t="shared" si="2"/>
        <v>104.52290633206887</v>
      </c>
      <c r="H49" s="66">
        <f t="shared" si="3"/>
        <v>1860</v>
      </c>
    </row>
    <row r="51" spans="1:8" ht="18" customHeight="1" x14ac:dyDescent="0.2">
      <c r="C51" s="62"/>
    </row>
  </sheetData>
  <pageMargins left="0.44" right="0.2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2"/>
  <sheetViews>
    <sheetView topLeftCell="A48" workbookViewId="0">
      <selection activeCell="H6" sqref="A6:H53"/>
    </sheetView>
  </sheetViews>
  <sheetFormatPr defaultRowHeight="14.25" x14ac:dyDescent="0.2"/>
  <cols>
    <col min="1" max="1" width="26.140625" style="4" customWidth="1"/>
    <col min="2" max="2" width="17.85546875" style="4" customWidth="1"/>
    <col min="3" max="4" width="16.5703125" style="4" customWidth="1"/>
    <col min="5" max="7" width="13.7109375" style="4" customWidth="1"/>
    <col min="8" max="8" width="12.140625" style="6" customWidth="1"/>
    <col min="9" max="16384" width="9.140625" style="4"/>
  </cols>
  <sheetData>
    <row r="3" spans="1:8" ht="15" x14ac:dyDescent="0.25">
      <c r="A3" s="1" t="s">
        <v>0</v>
      </c>
      <c r="B3" s="1"/>
      <c r="C3" s="1"/>
      <c r="D3" s="1"/>
      <c r="E3" s="1"/>
      <c r="F3" s="1"/>
      <c r="G3" s="2"/>
      <c r="H3" s="3"/>
    </row>
    <row r="4" spans="1:8" ht="18" customHeight="1" x14ac:dyDescent="0.25">
      <c r="A4" s="4" t="s">
        <v>1</v>
      </c>
      <c r="B4" s="1"/>
      <c r="C4" s="1"/>
      <c r="D4" s="1"/>
      <c r="E4" s="1"/>
      <c r="F4" s="1"/>
      <c r="G4" s="1"/>
      <c r="H4" s="5"/>
    </row>
    <row r="5" spans="1:8" ht="13.5" customHeight="1" x14ac:dyDescent="0.2">
      <c r="A5" s="4" t="s">
        <v>2</v>
      </c>
    </row>
    <row r="6" spans="1:8" ht="13.5" customHeight="1" x14ac:dyDescent="0.2"/>
    <row r="7" spans="1:8" ht="13.5" customHeight="1" x14ac:dyDescent="0.2"/>
    <row r="8" spans="1:8" ht="13.5" customHeight="1" x14ac:dyDescent="0.2">
      <c r="G8" s="2" t="s">
        <v>3</v>
      </c>
      <c r="H8" s="3"/>
    </row>
    <row r="9" spans="1:8" ht="42" customHeight="1" x14ac:dyDescent="0.2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7" t="s">
        <v>67</v>
      </c>
      <c r="G9" s="7" t="s">
        <v>9</v>
      </c>
      <c r="H9" s="10"/>
    </row>
    <row r="10" spans="1:8" ht="15" customHeight="1" x14ac:dyDescent="0.2">
      <c r="A10" s="7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7">
        <v>6</v>
      </c>
      <c r="H10" s="11"/>
    </row>
    <row r="11" spans="1:8" ht="18" customHeight="1" x14ac:dyDescent="0.2">
      <c r="A11" s="12" t="s">
        <v>11</v>
      </c>
      <c r="B11" s="13">
        <v>2389</v>
      </c>
      <c r="C11" s="13">
        <v>1876</v>
      </c>
      <c r="D11" s="13">
        <v>560</v>
      </c>
      <c r="E11" s="14">
        <f t="shared" ref="E11:E20" si="0">+D11/B11*100</f>
        <v>23.440770196735038</v>
      </c>
      <c r="F11" s="68">
        <f>+D11-B11</f>
        <v>-1829</v>
      </c>
      <c r="G11" s="15">
        <f>+D11-C11</f>
        <v>-1316</v>
      </c>
      <c r="H11" s="16"/>
    </row>
    <row r="12" spans="1:8" ht="18" customHeight="1" x14ac:dyDescent="0.2">
      <c r="A12" s="12" t="s">
        <v>12</v>
      </c>
      <c r="B12" s="13">
        <v>336</v>
      </c>
      <c r="C12" s="13">
        <v>278</v>
      </c>
      <c r="D12" s="13">
        <v>66</v>
      </c>
      <c r="E12" s="14">
        <f t="shared" si="0"/>
        <v>19.642857142857142</v>
      </c>
      <c r="F12" s="69">
        <f t="shared" ref="F12:F49" si="1">+D12-B12</f>
        <v>-270</v>
      </c>
      <c r="G12" s="17">
        <f t="shared" ref="G12:G49" si="2">+D12-C12</f>
        <v>-212</v>
      </c>
      <c r="H12" s="16"/>
    </row>
    <row r="13" spans="1:8" ht="18" customHeight="1" x14ac:dyDescent="0.2">
      <c r="A13" s="12" t="s">
        <v>13</v>
      </c>
      <c r="B13" s="13">
        <v>120</v>
      </c>
      <c r="C13" s="13">
        <v>68</v>
      </c>
      <c r="D13" s="13">
        <v>192</v>
      </c>
      <c r="E13" s="14">
        <f t="shared" si="0"/>
        <v>160</v>
      </c>
      <c r="F13" s="69">
        <f t="shared" si="1"/>
        <v>72</v>
      </c>
      <c r="G13" s="17">
        <f t="shared" si="2"/>
        <v>124</v>
      </c>
      <c r="H13" s="16"/>
    </row>
    <row r="14" spans="1:8" ht="18" customHeight="1" x14ac:dyDescent="0.2">
      <c r="A14" s="12" t="s">
        <v>14</v>
      </c>
      <c r="B14" s="13">
        <v>60</v>
      </c>
      <c r="C14" s="13">
        <v>59</v>
      </c>
      <c r="D14" s="13">
        <v>79</v>
      </c>
      <c r="E14" s="14">
        <f t="shared" si="0"/>
        <v>131.66666666666666</v>
      </c>
      <c r="F14" s="69">
        <f t="shared" si="1"/>
        <v>19</v>
      </c>
      <c r="G14" s="17">
        <f t="shared" si="2"/>
        <v>20</v>
      </c>
      <c r="H14" s="16"/>
    </row>
    <row r="15" spans="1:8" ht="18" customHeight="1" x14ac:dyDescent="0.2">
      <c r="A15" s="12" t="s">
        <v>15</v>
      </c>
      <c r="B15" s="13">
        <v>156</v>
      </c>
      <c r="C15" s="13">
        <v>123</v>
      </c>
      <c r="D15" s="13">
        <v>220</v>
      </c>
      <c r="E15" s="14">
        <f t="shared" si="0"/>
        <v>141.02564102564102</v>
      </c>
      <c r="F15" s="69">
        <f t="shared" si="1"/>
        <v>64</v>
      </c>
      <c r="G15" s="17">
        <f t="shared" si="2"/>
        <v>97</v>
      </c>
      <c r="H15" s="16"/>
    </row>
    <row r="16" spans="1:8" ht="18" customHeight="1" x14ac:dyDescent="0.2">
      <c r="A16" s="12" t="s">
        <v>16</v>
      </c>
      <c r="B16" s="13">
        <v>204</v>
      </c>
      <c r="C16" s="13">
        <v>395</v>
      </c>
      <c r="D16" s="13">
        <v>46</v>
      </c>
      <c r="E16" s="14">
        <f t="shared" si="0"/>
        <v>22.549019607843139</v>
      </c>
      <c r="F16" s="69">
        <f t="shared" si="1"/>
        <v>-158</v>
      </c>
      <c r="G16" s="17">
        <f t="shared" si="2"/>
        <v>-349</v>
      </c>
      <c r="H16" s="16"/>
    </row>
    <row r="17" spans="1:8" ht="18" customHeight="1" x14ac:dyDescent="0.2">
      <c r="A17" s="12" t="s">
        <v>17</v>
      </c>
      <c r="B17" s="13">
        <v>720</v>
      </c>
      <c r="C17" s="13">
        <v>527</v>
      </c>
      <c r="D17" s="13">
        <v>74</v>
      </c>
      <c r="E17" s="14">
        <f t="shared" si="0"/>
        <v>10.277777777777777</v>
      </c>
      <c r="F17" s="69">
        <f t="shared" si="1"/>
        <v>-646</v>
      </c>
      <c r="G17" s="17">
        <f t="shared" si="2"/>
        <v>-453</v>
      </c>
      <c r="H17" s="16"/>
    </row>
    <row r="18" spans="1:8" ht="18" customHeight="1" x14ac:dyDescent="0.2">
      <c r="A18" s="12" t="s">
        <v>18</v>
      </c>
      <c r="B18" s="13">
        <v>540</v>
      </c>
      <c r="C18" s="13">
        <v>513</v>
      </c>
      <c r="D18" s="13">
        <v>348</v>
      </c>
      <c r="E18" s="14">
        <f t="shared" si="0"/>
        <v>64.444444444444443</v>
      </c>
      <c r="F18" s="69">
        <f t="shared" si="1"/>
        <v>-192</v>
      </c>
      <c r="G18" s="17">
        <f t="shared" si="2"/>
        <v>-165</v>
      </c>
      <c r="H18" s="16"/>
    </row>
    <row r="19" spans="1:8" ht="18" customHeight="1" x14ac:dyDescent="0.2">
      <c r="A19" s="12" t="s">
        <v>19</v>
      </c>
      <c r="B19" s="13">
        <v>468</v>
      </c>
      <c r="C19" s="13">
        <v>405</v>
      </c>
      <c r="D19" s="13">
        <v>484</v>
      </c>
      <c r="E19" s="14">
        <f t="shared" si="0"/>
        <v>103.41880341880344</v>
      </c>
      <c r="F19" s="69">
        <f t="shared" si="1"/>
        <v>16</v>
      </c>
      <c r="G19" s="17">
        <f t="shared" si="2"/>
        <v>79</v>
      </c>
      <c r="H19" s="16"/>
    </row>
    <row r="20" spans="1:8" ht="18" customHeight="1" x14ac:dyDescent="0.2">
      <c r="A20" s="12" t="s">
        <v>20</v>
      </c>
      <c r="B20" s="13">
        <v>60</v>
      </c>
      <c r="C20" s="13">
        <v>7</v>
      </c>
      <c r="D20" s="13">
        <v>3</v>
      </c>
      <c r="E20" s="14">
        <f t="shared" si="0"/>
        <v>5</v>
      </c>
      <c r="F20" s="69">
        <f t="shared" si="1"/>
        <v>-57</v>
      </c>
      <c r="G20" s="17">
        <f t="shared" si="2"/>
        <v>-4</v>
      </c>
      <c r="H20" s="16"/>
    </row>
    <row r="21" spans="1:8" ht="18" customHeight="1" x14ac:dyDescent="0.2">
      <c r="A21" s="12" t="s">
        <v>21</v>
      </c>
      <c r="B21" s="13">
        <v>120</v>
      </c>
      <c r="C21" s="13">
        <v>33</v>
      </c>
      <c r="D21" s="13">
        <v>715</v>
      </c>
      <c r="E21" s="24" t="s">
        <v>50</v>
      </c>
      <c r="F21" s="69">
        <f t="shared" si="1"/>
        <v>595</v>
      </c>
      <c r="G21" s="17">
        <f t="shared" si="2"/>
        <v>682</v>
      </c>
      <c r="H21" s="16"/>
    </row>
    <row r="22" spans="1:8" ht="18" customHeight="1" x14ac:dyDescent="0.2">
      <c r="A22" s="12" t="s">
        <v>22</v>
      </c>
      <c r="B22" s="13">
        <v>96</v>
      </c>
      <c r="C22" s="13">
        <v>31</v>
      </c>
      <c r="D22" s="13">
        <v>11</v>
      </c>
      <c r="E22" s="14">
        <f>+D22/B22*100</f>
        <v>11.458333333333332</v>
      </c>
      <c r="F22" s="69">
        <f t="shared" si="1"/>
        <v>-85</v>
      </c>
      <c r="G22" s="17">
        <f t="shared" si="2"/>
        <v>-20</v>
      </c>
      <c r="H22" s="16"/>
    </row>
    <row r="23" spans="1:8" ht="18" customHeight="1" x14ac:dyDescent="0.2">
      <c r="A23" s="12" t="s">
        <v>23</v>
      </c>
      <c r="B23" s="13">
        <v>156</v>
      </c>
      <c r="C23" s="13">
        <v>149</v>
      </c>
      <c r="D23" s="13">
        <v>644</v>
      </c>
      <c r="E23" s="14">
        <f>+D23/B23*100</f>
        <v>412.82051282051287</v>
      </c>
      <c r="F23" s="69">
        <f t="shared" si="1"/>
        <v>488</v>
      </c>
      <c r="G23" s="17">
        <f t="shared" si="2"/>
        <v>495</v>
      </c>
      <c r="H23" s="16"/>
    </row>
    <row r="24" spans="1:8" ht="18" customHeight="1" x14ac:dyDescent="0.2">
      <c r="A24" s="12" t="s">
        <v>24</v>
      </c>
      <c r="B24" s="13">
        <v>552</v>
      </c>
      <c r="C24" s="13">
        <v>443</v>
      </c>
      <c r="D24" s="13">
        <v>201</v>
      </c>
      <c r="E24" s="14">
        <f>+D24/B24*100</f>
        <v>36.413043478260867</v>
      </c>
      <c r="F24" s="69">
        <f t="shared" si="1"/>
        <v>-351</v>
      </c>
      <c r="G24" s="17">
        <f t="shared" si="2"/>
        <v>-242</v>
      </c>
      <c r="H24" s="16"/>
    </row>
    <row r="25" spans="1:8" ht="18" customHeight="1" x14ac:dyDescent="0.2">
      <c r="A25" s="12" t="s">
        <v>25</v>
      </c>
      <c r="B25" s="13">
        <v>72</v>
      </c>
      <c r="C25" s="13">
        <v>60</v>
      </c>
      <c r="D25" s="13">
        <v>23</v>
      </c>
      <c r="E25" s="14">
        <f>+D25/B25*100</f>
        <v>31.944444444444443</v>
      </c>
      <c r="F25" s="69">
        <f t="shared" si="1"/>
        <v>-49</v>
      </c>
      <c r="G25" s="17">
        <f t="shared" si="2"/>
        <v>-37</v>
      </c>
      <c r="H25" s="16"/>
    </row>
    <row r="26" spans="1:8" ht="18" customHeight="1" x14ac:dyDescent="0.2">
      <c r="A26" s="12" t="s">
        <v>26</v>
      </c>
      <c r="B26" s="13">
        <v>60</v>
      </c>
      <c r="C26" s="13">
        <v>48</v>
      </c>
      <c r="D26" s="13">
        <v>538</v>
      </c>
      <c r="E26" s="24" t="s">
        <v>50</v>
      </c>
      <c r="F26" s="69">
        <f t="shared" si="1"/>
        <v>478</v>
      </c>
      <c r="G26" s="17">
        <f t="shared" si="2"/>
        <v>490</v>
      </c>
      <c r="H26" s="16"/>
    </row>
    <row r="27" spans="1:8" ht="18" customHeight="1" x14ac:dyDescent="0.2">
      <c r="A27" s="12" t="s">
        <v>27</v>
      </c>
      <c r="B27" s="13">
        <v>192</v>
      </c>
      <c r="C27" s="13">
        <v>156</v>
      </c>
      <c r="D27" s="13">
        <v>111</v>
      </c>
      <c r="E27" s="14">
        <f>+D27/B27*100</f>
        <v>57.8125</v>
      </c>
      <c r="F27" s="69">
        <f t="shared" si="1"/>
        <v>-81</v>
      </c>
      <c r="G27" s="17">
        <f t="shared" si="2"/>
        <v>-45</v>
      </c>
      <c r="H27" s="16"/>
    </row>
    <row r="28" spans="1:8" ht="18" customHeight="1" x14ac:dyDescent="0.2">
      <c r="A28" s="12" t="s">
        <v>28</v>
      </c>
      <c r="B28" s="13">
        <v>300</v>
      </c>
      <c r="C28" s="13">
        <v>239</v>
      </c>
      <c r="D28" s="13">
        <v>329</v>
      </c>
      <c r="E28" s="14">
        <f>+D28/B28*100</f>
        <v>109.66666666666667</v>
      </c>
      <c r="F28" s="69">
        <f t="shared" si="1"/>
        <v>29</v>
      </c>
      <c r="G28" s="17">
        <f t="shared" si="2"/>
        <v>90</v>
      </c>
      <c r="H28" s="16"/>
    </row>
    <row r="29" spans="1:8" ht="18" customHeight="1" x14ac:dyDescent="0.2">
      <c r="A29" s="12" t="s">
        <v>29</v>
      </c>
      <c r="B29" s="13">
        <v>264</v>
      </c>
      <c r="C29" s="13">
        <v>211</v>
      </c>
      <c r="D29" s="13">
        <v>260</v>
      </c>
      <c r="E29" s="14">
        <f>+D29/B29*100</f>
        <v>98.484848484848484</v>
      </c>
      <c r="F29" s="69">
        <f t="shared" si="1"/>
        <v>-4</v>
      </c>
      <c r="G29" s="17">
        <f t="shared" si="2"/>
        <v>49</v>
      </c>
      <c r="H29" s="16"/>
    </row>
    <row r="30" spans="1:8" ht="18" customHeight="1" x14ac:dyDescent="0.2">
      <c r="A30" s="12" t="s">
        <v>30</v>
      </c>
      <c r="B30" s="13">
        <v>240</v>
      </c>
      <c r="C30" s="13">
        <v>196</v>
      </c>
      <c r="D30" s="13">
        <v>0</v>
      </c>
      <c r="E30" s="14">
        <f>+D30/B30*100</f>
        <v>0</v>
      </c>
      <c r="F30" s="69">
        <f t="shared" si="1"/>
        <v>-240</v>
      </c>
      <c r="G30" s="17">
        <f t="shared" si="2"/>
        <v>-196</v>
      </c>
      <c r="H30" s="16"/>
    </row>
    <row r="31" spans="1:8" ht="18" customHeight="1" x14ac:dyDescent="0.2">
      <c r="A31" s="12" t="s">
        <v>31</v>
      </c>
      <c r="B31" s="13">
        <v>384</v>
      </c>
      <c r="C31" s="13">
        <v>309</v>
      </c>
      <c r="D31" s="13">
        <v>49</v>
      </c>
      <c r="E31" s="14">
        <f>+D31/B31*100</f>
        <v>12.760416666666666</v>
      </c>
      <c r="F31" s="69">
        <f t="shared" si="1"/>
        <v>-335</v>
      </c>
      <c r="G31" s="17">
        <f t="shared" si="2"/>
        <v>-260</v>
      </c>
      <c r="H31" s="16"/>
    </row>
    <row r="32" spans="1:8" ht="18" customHeight="1" x14ac:dyDescent="0.2">
      <c r="A32" s="12" t="s">
        <v>32</v>
      </c>
      <c r="B32" s="13">
        <v>12</v>
      </c>
      <c r="C32" s="13">
        <v>0</v>
      </c>
      <c r="D32" s="13">
        <v>76</v>
      </c>
      <c r="E32" s="24" t="s">
        <v>50</v>
      </c>
      <c r="F32" s="69">
        <f t="shared" si="1"/>
        <v>64</v>
      </c>
      <c r="G32" s="17">
        <f t="shared" si="2"/>
        <v>76</v>
      </c>
      <c r="H32" s="16"/>
    </row>
    <row r="33" spans="1:8" ht="18" customHeight="1" x14ac:dyDescent="0.2">
      <c r="A33" s="12" t="s">
        <v>33</v>
      </c>
      <c r="B33" s="13">
        <v>108</v>
      </c>
      <c r="C33" s="13">
        <v>41</v>
      </c>
      <c r="D33" s="13">
        <v>45</v>
      </c>
      <c r="E33" s="14">
        <f>+D33/B33*100</f>
        <v>41.666666666666671</v>
      </c>
      <c r="F33" s="69">
        <f t="shared" si="1"/>
        <v>-63</v>
      </c>
      <c r="G33" s="17">
        <f t="shared" si="2"/>
        <v>4</v>
      </c>
      <c r="H33" s="16"/>
    </row>
    <row r="34" spans="1:8" ht="18" customHeight="1" x14ac:dyDescent="0.2">
      <c r="A34" s="12" t="s">
        <v>34</v>
      </c>
      <c r="B34" s="13">
        <v>72</v>
      </c>
      <c r="C34" s="13">
        <v>6</v>
      </c>
      <c r="D34" s="13">
        <v>45</v>
      </c>
      <c r="E34" s="14">
        <f>+D34/B34*100</f>
        <v>62.5</v>
      </c>
      <c r="F34" s="69">
        <f t="shared" si="1"/>
        <v>-27</v>
      </c>
      <c r="G34" s="17">
        <f t="shared" si="2"/>
        <v>39</v>
      </c>
      <c r="H34" s="16"/>
    </row>
    <row r="35" spans="1:8" ht="18" customHeight="1" x14ac:dyDescent="0.2">
      <c r="A35" s="12" t="s">
        <v>35</v>
      </c>
      <c r="B35" s="13">
        <v>48</v>
      </c>
      <c r="C35" s="13">
        <v>40</v>
      </c>
      <c r="D35" s="13">
        <v>317</v>
      </c>
      <c r="E35" s="24" t="s">
        <v>50</v>
      </c>
      <c r="F35" s="69">
        <f t="shared" si="1"/>
        <v>269</v>
      </c>
      <c r="G35" s="17">
        <f t="shared" si="2"/>
        <v>277</v>
      </c>
      <c r="H35" s="16"/>
    </row>
    <row r="36" spans="1:8" ht="18" customHeight="1" x14ac:dyDescent="0.2">
      <c r="A36" s="12" t="s">
        <v>36</v>
      </c>
      <c r="B36" s="13">
        <v>600</v>
      </c>
      <c r="C36" s="13">
        <v>565</v>
      </c>
      <c r="D36" s="13">
        <v>1</v>
      </c>
      <c r="E36" s="14">
        <f t="shared" ref="E36:E49" si="3">+D36/B36*100</f>
        <v>0.16666666666666669</v>
      </c>
      <c r="F36" s="69">
        <f t="shared" si="1"/>
        <v>-599</v>
      </c>
      <c r="G36" s="17">
        <f t="shared" si="2"/>
        <v>-564</v>
      </c>
      <c r="H36" s="16"/>
    </row>
    <row r="37" spans="1:8" ht="18" customHeight="1" x14ac:dyDescent="0.2">
      <c r="A37" s="12" t="s">
        <v>37</v>
      </c>
      <c r="B37" s="13">
        <v>576</v>
      </c>
      <c r="C37" s="13">
        <v>935</v>
      </c>
      <c r="D37" s="13">
        <v>2</v>
      </c>
      <c r="E37" s="14">
        <f t="shared" si="3"/>
        <v>0.34722222222222221</v>
      </c>
      <c r="F37" s="69">
        <f t="shared" si="1"/>
        <v>-574</v>
      </c>
      <c r="G37" s="17">
        <f t="shared" si="2"/>
        <v>-933</v>
      </c>
      <c r="H37" s="16"/>
    </row>
    <row r="38" spans="1:8" ht="18" customHeight="1" x14ac:dyDescent="0.2">
      <c r="A38" s="12" t="s">
        <v>38</v>
      </c>
      <c r="B38" s="13">
        <v>60</v>
      </c>
      <c r="C38" s="13">
        <v>26</v>
      </c>
      <c r="D38" s="13">
        <v>6</v>
      </c>
      <c r="E38" s="14">
        <f t="shared" si="3"/>
        <v>10</v>
      </c>
      <c r="F38" s="69">
        <f t="shared" si="1"/>
        <v>-54</v>
      </c>
      <c r="G38" s="17">
        <f t="shared" si="2"/>
        <v>-20</v>
      </c>
      <c r="H38" s="16"/>
    </row>
    <row r="39" spans="1:8" ht="18" customHeight="1" x14ac:dyDescent="0.2">
      <c r="A39" s="12" t="s">
        <v>39</v>
      </c>
      <c r="B39" s="13">
        <v>12</v>
      </c>
      <c r="C39" s="13">
        <v>11</v>
      </c>
      <c r="D39" s="13">
        <v>12</v>
      </c>
      <c r="E39" s="14">
        <f t="shared" si="3"/>
        <v>100</v>
      </c>
      <c r="F39" s="69">
        <f t="shared" si="1"/>
        <v>0</v>
      </c>
      <c r="G39" s="17">
        <f t="shared" si="2"/>
        <v>1</v>
      </c>
      <c r="H39" s="16"/>
    </row>
    <row r="40" spans="1:8" ht="18" customHeight="1" x14ac:dyDescent="0.2">
      <c r="A40" s="12" t="s">
        <v>40</v>
      </c>
      <c r="B40" s="13">
        <v>36</v>
      </c>
      <c r="C40" s="13">
        <v>12</v>
      </c>
      <c r="D40" s="13">
        <v>0</v>
      </c>
      <c r="E40" s="14">
        <f t="shared" si="3"/>
        <v>0</v>
      </c>
      <c r="F40" s="69">
        <f t="shared" si="1"/>
        <v>-36</v>
      </c>
      <c r="G40" s="17">
        <f t="shared" si="2"/>
        <v>-12</v>
      </c>
      <c r="H40" s="16"/>
    </row>
    <row r="41" spans="1:8" ht="18" customHeight="1" x14ac:dyDescent="0.2">
      <c r="A41" s="12" t="s">
        <v>41</v>
      </c>
      <c r="B41" s="13">
        <v>168</v>
      </c>
      <c r="C41" s="13">
        <v>23</v>
      </c>
      <c r="D41" s="13">
        <v>386</v>
      </c>
      <c r="E41" s="14">
        <f t="shared" si="3"/>
        <v>229.76190476190476</v>
      </c>
      <c r="F41" s="69">
        <f t="shared" si="1"/>
        <v>218</v>
      </c>
      <c r="G41" s="17">
        <f t="shared" si="2"/>
        <v>363</v>
      </c>
      <c r="H41" s="16"/>
    </row>
    <row r="42" spans="1:8" ht="18" customHeight="1" x14ac:dyDescent="0.2">
      <c r="A42" s="12" t="s">
        <v>42</v>
      </c>
      <c r="B42" s="13">
        <v>468</v>
      </c>
      <c r="C42" s="13">
        <v>206</v>
      </c>
      <c r="D42" s="13">
        <v>729</v>
      </c>
      <c r="E42" s="14">
        <f t="shared" si="3"/>
        <v>155.76923076923077</v>
      </c>
      <c r="F42" s="69">
        <f t="shared" si="1"/>
        <v>261</v>
      </c>
      <c r="G42" s="17">
        <f t="shared" si="2"/>
        <v>523</v>
      </c>
      <c r="H42" s="16"/>
    </row>
    <row r="43" spans="1:8" ht="18" customHeight="1" x14ac:dyDescent="0.2">
      <c r="A43" s="12" t="s">
        <v>43</v>
      </c>
      <c r="B43" s="13">
        <v>456</v>
      </c>
      <c r="C43" s="13">
        <v>257</v>
      </c>
      <c r="D43" s="13">
        <v>135</v>
      </c>
      <c r="E43" s="14">
        <f t="shared" si="3"/>
        <v>29.605263157894733</v>
      </c>
      <c r="F43" s="69">
        <f t="shared" si="1"/>
        <v>-321</v>
      </c>
      <c r="G43" s="17">
        <f t="shared" si="2"/>
        <v>-122</v>
      </c>
      <c r="H43" s="16"/>
    </row>
    <row r="44" spans="1:8" ht="18" customHeight="1" x14ac:dyDescent="0.2">
      <c r="A44" s="12" t="s">
        <v>44</v>
      </c>
      <c r="B44" s="13">
        <v>84</v>
      </c>
      <c r="C44" s="13">
        <v>0</v>
      </c>
      <c r="D44" s="13">
        <v>28</v>
      </c>
      <c r="E44" s="14">
        <f t="shared" si="3"/>
        <v>33.333333333333329</v>
      </c>
      <c r="F44" s="69">
        <f t="shared" si="1"/>
        <v>-56</v>
      </c>
      <c r="G44" s="17">
        <f t="shared" si="2"/>
        <v>28</v>
      </c>
      <c r="H44" s="16"/>
    </row>
    <row r="45" spans="1:8" ht="18" customHeight="1" x14ac:dyDescent="0.2">
      <c r="A45" s="12" t="s">
        <v>45</v>
      </c>
      <c r="B45" s="13">
        <v>108</v>
      </c>
      <c r="C45" s="13">
        <v>89</v>
      </c>
      <c r="D45" s="13">
        <v>149</v>
      </c>
      <c r="E45" s="14">
        <f t="shared" si="3"/>
        <v>137.96296296296296</v>
      </c>
      <c r="F45" s="69">
        <f t="shared" si="1"/>
        <v>41</v>
      </c>
      <c r="G45" s="17">
        <f t="shared" si="2"/>
        <v>60</v>
      </c>
      <c r="H45" s="16"/>
    </row>
    <row r="46" spans="1:8" ht="18" customHeight="1" x14ac:dyDescent="0.2">
      <c r="A46" s="12" t="s">
        <v>46</v>
      </c>
      <c r="B46" s="13">
        <v>216</v>
      </c>
      <c r="C46" s="13">
        <v>241</v>
      </c>
      <c r="D46" s="13">
        <v>4</v>
      </c>
      <c r="E46" s="14">
        <f t="shared" si="3"/>
        <v>1.8518518518518516</v>
      </c>
      <c r="F46" s="69">
        <f t="shared" si="1"/>
        <v>-212</v>
      </c>
      <c r="G46" s="17">
        <f t="shared" si="2"/>
        <v>-237</v>
      </c>
      <c r="H46" s="16"/>
    </row>
    <row r="47" spans="1:8" ht="18" customHeight="1" x14ac:dyDescent="0.2">
      <c r="A47" s="18" t="s">
        <v>47</v>
      </c>
      <c r="B47" s="19">
        <f>SUM(B11:B46)</f>
        <v>10513</v>
      </c>
      <c r="C47" s="19">
        <f>SUM(C11:C46)</f>
        <v>8578</v>
      </c>
      <c r="D47" s="19">
        <f>SUM(D11:D46)</f>
        <v>6888</v>
      </c>
      <c r="E47" s="20">
        <f t="shared" si="3"/>
        <v>65.518881384951968</v>
      </c>
      <c r="F47" s="70">
        <f t="shared" si="1"/>
        <v>-3625</v>
      </c>
      <c r="G47" s="21">
        <f t="shared" si="2"/>
        <v>-1690</v>
      </c>
      <c r="H47" s="16"/>
    </row>
    <row r="48" spans="1:8" ht="18" customHeight="1" x14ac:dyDescent="0.2">
      <c r="A48" s="18" t="s">
        <v>48</v>
      </c>
      <c r="B48" s="22">
        <v>39569</v>
      </c>
      <c r="C48" s="22">
        <v>35476</v>
      </c>
      <c r="D48" s="22">
        <v>30674</v>
      </c>
      <c r="E48" s="20">
        <f t="shared" si="3"/>
        <v>77.520281028077534</v>
      </c>
      <c r="F48" s="70">
        <f t="shared" si="1"/>
        <v>-8895</v>
      </c>
      <c r="G48" s="21">
        <f t="shared" si="2"/>
        <v>-4802</v>
      </c>
      <c r="H48" s="16"/>
    </row>
    <row r="49" spans="1:8" ht="18" customHeight="1" x14ac:dyDescent="0.2">
      <c r="A49" s="18" t="s">
        <v>49</v>
      </c>
      <c r="B49" s="22">
        <f>+B47+B48</f>
        <v>50082</v>
      </c>
      <c r="C49" s="22">
        <f t="shared" ref="C49:D49" si="4">+C47+C48</f>
        <v>44054</v>
      </c>
      <c r="D49" s="22">
        <f t="shared" si="4"/>
        <v>37562</v>
      </c>
      <c r="E49" s="23">
        <f t="shared" si="3"/>
        <v>75.000998362685195</v>
      </c>
      <c r="F49" s="71">
        <f t="shared" si="1"/>
        <v>-12520</v>
      </c>
      <c r="G49" s="21">
        <f t="shared" si="2"/>
        <v>-6492</v>
      </c>
      <c r="H49" s="16"/>
    </row>
    <row r="50" spans="1:8" ht="18" customHeight="1" x14ac:dyDescent="0.2"/>
    <row r="51" spans="1:8" ht="18" customHeight="1" x14ac:dyDescent="0.2"/>
    <row r="52" spans="1:8" ht="15" customHeight="1" x14ac:dyDescent="0.2"/>
  </sheetData>
  <pageMargins left="0.55118110236220474" right="0.43307086614173229" top="0.59055118110236227" bottom="0.62992125984251968" header="0.51181102362204722" footer="0.51181102362204722"/>
  <pageSetup paperSize="9" scale="78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workbookViewId="0">
      <selection activeCell="L50" sqref="L50"/>
    </sheetView>
  </sheetViews>
  <sheetFormatPr defaultColWidth="8" defaultRowHeight="14.25" x14ac:dyDescent="0.2"/>
  <cols>
    <col min="1" max="1" width="23.140625" style="25" customWidth="1"/>
    <col min="2" max="4" width="16.140625" style="25" customWidth="1"/>
    <col min="5" max="6" width="13" style="31" customWidth="1"/>
    <col min="7" max="7" width="13" style="27" customWidth="1"/>
    <col min="8" max="8" width="13" style="25" customWidth="1"/>
    <col min="9" max="16384" width="8" style="25"/>
  </cols>
  <sheetData>
    <row r="1" spans="1:8" x14ac:dyDescent="0.2">
      <c r="E1" s="26"/>
      <c r="F1" s="26"/>
    </row>
    <row r="3" spans="1:8" x14ac:dyDescent="0.2">
      <c r="E3" s="26"/>
      <c r="F3" s="26"/>
    </row>
    <row r="4" spans="1:8" x14ac:dyDescent="0.2">
      <c r="B4" s="28"/>
      <c r="C4" s="28"/>
      <c r="D4" s="28"/>
      <c r="E4" s="28"/>
      <c r="F4" s="28"/>
      <c r="G4" s="26"/>
    </row>
    <row r="5" spans="1:8" x14ac:dyDescent="0.2">
      <c r="A5" s="263"/>
      <c r="B5" s="263"/>
      <c r="C5" s="263"/>
      <c r="D5" s="263"/>
      <c r="E5" s="263"/>
      <c r="F5" s="29"/>
    </row>
    <row r="6" spans="1:8" x14ac:dyDescent="0.2">
      <c r="A6" s="28" t="s">
        <v>51</v>
      </c>
      <c r="B6" s="29"/>
      <c r="C6" s="29"/>
      <c r="D6" s="29"/>
      <c r="E6" s="29"/>
      <c r="F6" s="29"/>
    </row>
    <row r="7" spans="1:8" x14ac:dyDescent="0.2">
      <c r="A7" s="4" t="s">
        <v>52</v>
      </c>
      <c r="B7" s="29"/>
      <c r="C7" s="29"/>
      <c r="D7" s="29"/>
      <c r="E7" s="29"/>
      <c r="F7" s="29"/>
    </row>
    <row r="8" spans="1:8" x14ac:dyDescent="0.2">
      <c r="A8" s="29"/>
      <c r="B8" s="29"/>
      <c r="C8" s="29"/>
      <c r="D8" s="29"/>
      <c r="E8" s="29"/>
      <c r="F8" s="29"/>
    </row>
    <row r="9" spans="1:8" ht="15.75" customHeight="1" x14ac:dyDescent="0.25">
      <c r="A9" s="30"/>
      <c r="B9" s="30"/>
      <c r="C9" s="30"/>
      <c r="D9" s="30"/>
      <c r="H9" s="32" t="s">
        <v>3</v>
      </c>
    </row>
    <row r="10" spans="1:8" ht="41.25" customHeight="1" x14ac:dyDescent="0.2">
      <c r="A10" s="58" t="s">
        <v>4</v>
      </c>
      <c r="B10" s="33" t="s">
        <v>53</v>
      </c>
      <c r="C10" s="34" t="s">
        <v>54</v>
      </c>
      <c r="D10" s="34" t="s">
        <v>55</v>
      </c>
      <c r="E10" s="35" t="s">
        <v>56</v>
      </c>
      <c r="F10" s="36" t="s">
        <v>67</v>
      </c>
      <c r="G10" s="35" t="s">
        <v>57</v>
      </c>
      <c r="H10" s="36" t="s">
        <v>9</v>
      </c>
    </row>
    <row r="11" spans="1:8" x14ac:dyDescent="0.2">
      <c r="A11" s="36" t="s">
        <v>10</v>
      </c>
      <c r="B11" s="37">
        <v>1</v>
      </c>
      <c r="C11" s="37">
        <v>2</v>
      </c>
      <c r="D11" s="37">
        <v>3</v>
      </c>
      <c r="E11" s="37">
        <v>4</v>
      </c>
      <c r="F11" s="37">
        <v>5</v>
      </c>
      <c r="G11" s="38">
        <v>6</v>
      </c>
      <c r="H11" s="37">
        <v>7</v>
      </c>
    </row>
    <row r="12" spans="1:8" ht="18" customHeight="1" x14ac:dyDescent="0.2">
      <c r="A12" s="39" t="s">
        <v>11</v>
      </c>
      <c r="B12" s="40">
        <v>27812</v>
      </c>
      <c r="C12" s="40">
        <v>24050</v>
      </c>
      <c r="D12" s="41">
        <v>27935</v>
      </c>
      <c r="E12" s="14">
        <f>+D12/B12*100</f>
        <v>100.44225514166547</v>
      </c>
      <c r="F12" s="68">
        <f>+D12-B12</f>
        <v>123</v>
      </c>
      <c r="G12" s="42">
        <f>+D12/C12*100</f>
        <v>116.15384615384616</v>
      </c>
      <c r="H12" s="43">
        <f>+D12-C12</f>
        <v>3885</v>
      </c>
    </row>
    <row r="13" spans="1:8" ht="18" customHeight="1" x14ac:dyDescent="0.2">
      <c r="A13" s="39" t="s">
        <v>12</v>
      </c>
      <c r="B13" s="40">
        <v>9738</v>
      </c>
      <c r="C13" s="40">
        <v>7305</v>
      </c>
      <c r="D13" s="44">
        <v>8362</v>
      </c>
      <c r="E13" s="14">
        <f t="shared" ref="E13:E48" si="0">+D13/B13*100</f>
        <v>85.869788457588825</v>
      </c>
      <c r="F13" s="68">
        <f t="shared" ref="F13:F50" si="1">+D13-B13</f>
        <v>-1376</v>
      </c>
      <c r="G13" s="45">
        <f t="shared" ref="G13:G51" si="2">+D13/C13*100</f>
        <v>114.46954140999314</v>
      </c>
      <c r="H13" s="46">
        <f t="shared" ref="H13:H50" si="3">+D13-C13</f>
        <v>1057</v>
      </c>
    </row>
    <row r="14" spans="1:8" ht="18" customHeight="1" x14ac:dyDescent="0.2">
      <c r="A14" s="39" t="s">
        <v>13</v>
      </c>
      <c r="B14" s="40">
        <v>4039</v>
      </c>
      <c r="C14" s="40">
        <v>3302</v>
      </c>
      <c r="D14" s="44">
        <v>3710</v>
      </c>
      <c r="E14" s="14">
        <f t="shared" si="0"/>
        <v>91.854419410745237</v>
      </c>
      <c r="F14" s="68">
        <f t="shared" si="1"/>
        <v>-329</v>
      </c>
      <c r="G14" s="45">
        <f t="shared" si="2"/>
        <v>112.35614778921865</v>
      </c>
      <c r="H14" s="46">
        <f t="shared" si="3"/>
        <v>408</v>
      </c>
    </row>
    <row r="15" spans="1:8" ht="18" customHeight="1" x14ac:dyDescent="0.2">
      <c r="A15" s="39" t="s">
        <v>14</v>
      </c>
      <c r="B15" s="40">
        <v>5719</v>
      </c>
      <c r="C15" s="40">
        <v>4361</v>
      </c>
      <c r="D15" s="44">
        <v>4952</v>
      </c>
      <c r="E15" s="14">
        <f t="shared" si="0"/>
        <v>86.588564434341663</v>
      </c>
      <c r="F15" s="68">
        <f t="shared" si="1"/>
        <v>-767</v>
      </c>
      <c r="G15" s="45">
        <f t="shared" si="2"/>
        <v>113.55193762898416</v>
      </c>
      <c r="H15" s="46">
        <f t="shared" si="3"/>
        <v>591</v>
      </c>
    </row>
    <row r="16" spans="1:8" ht="18" customHeight="1" x14ac:dyDescent="0.2">
      <c r="A16" s="39" t="s">
        <v>15</v>
      </c>
      <c r="B16" s="40">
        <v>7518</v>
      </c>
      <c r="C16" s="40">
        <v>4899</v>
      </c>
      <c r="D16" s="44">
        <v>3875</v>
      </c>
      <c r="E16" s="14">
        <f t="shared" si="0"/>
        <v>51.542963554136733</v>
      </c>
      <c r="F16" s="68">
        <f t="shared" si="1"/>
        <v>-3643</v>
      </c>
      <c r="G16" s="45">
        <f t="shared" si="2"/>
        <v>79.097775056133898</v>
      </c>
      <c r="H16" s="46">
        <f t="shared" si="3"/>
        <v>-1024</v>
      </c>
    </row>
    <row r="17" spans="1:8" ht="18" customHeight="1" x14ac:dyDescent="0.2">
      <c r="A17" s="39" t="s">
        <v>16</v>
      </c>
      <c r="B17" s="40">
        <v>7578</v>
      </c>
      <c r="C17" s="40">
        <v>5795</v>
      </c>
      <c r="D17" s="44">
        <v>5402</v>
      </c>
      <c r="E17" s="14">
        <f t="shared" si="0"/>
        <v>71.285299551332798</v>
      </c>
      <c r="F17" s="68">
        <f t="shared" si="1"/>
        <v>-2176</v>
      </c>
      <c r="G17" s="45">
        <f t="shared" si="2"/>
        <v>93.218291630716138</v>
      </c>
      <c r="H17" s="46">
        <f t="shared" si="3"/>
        <v>-393</v>
      </c>
    </row>
    <row r="18" spans="1:8" ht="18" customHeight="1" x14ac:dyDescent="0.2">
      <c r="A18" s="39" t="s">
        <v>17</v>
      </c>
      <c r="B18" s="40">
        <v>8078</v>
      </c>
      <c r="C18" s="40">
        <v>5366</v>
      </c>
      <c r="D18" s="44">
        <v>4850</v>
      </c>
      <c r="E18" s="14">
        <f t="shared" si="0"/>
        <v>60.039613765783606</v>
      </c>
      <c r="F18" s="68">
        <f t="shared" si="1"/>
        <v>-3228</v>
      </c>
      <c r="G18" s="45">
        <f t="shared" si="2"/>
        <v>90.383898620946695</v>
      </c>
      <c r="H18" s="46">
        <f t="shared" si="3"/>
        <v>-516</v>
      </c>
    </row>
    <row r="19" spans="1:8" ht="18" customHeight="1" x14ac:dyDescent="0.2">
      <c r="A19" s="39" t="s">
        <v>18</v>
      </c>
      <c r="B19" s="40">
        <v>6219</v>
      </c>
      <c r="C19" s="40">
        <v>5432</v>
      </c>
      <c r="D19" s="44">
        <v>4892</v>
      </c>
      <c r="E19" s="14">
        <f t="shared" si="0"/>
        <v>78.662164335102105</v>
      </c>
      <c r="F19" s="68">
        <f t="shared" si="1"/>
        <v>-1327</v>
      </c>
      <c r="G19" s="45">
        <f t="shared" si="2"/>
        <v>90.058910162002945</v>
      </c>
      <c r="H19" s="46">
        <f t="shared" si="3"/>
        <v>-540</v>
      </c>
    </row>
    <row r="20" spans="1:8" ht="18" customHeight="1" x14ac:dyDescent="0.2">
      <c r="A20" s="39" t="s">
        <v>19</v>
      </c>
      <c r="B20" s="40">
        <v>7238</v>
      </c>
      <c r="C20" s="40">
        <v>5268</v>
      </c>
      <c r="D20" s="44">
        <v>6360</v>
      </c>
      <c r="E20" s="14">
        <f t="shared" si="0"/>
        <v>87.869577231279365</v>
      </c>
      <c r="F20" s="68">
        <f t="shared" si="1"/>
        <v>-878</v>
      </c>
      <c r="G20" s="45">
        <f t="shared" si="2"/>
        <v>120.72892938496582</v>
      </c>
      <c r="H20" s="46">
        <f t="shared" si="3"/>
        <v>1092</v>
      </c>
    </row>
    <row r="21" spans="1:8" ht="18" customHeight="1" x14ac:dyDescent="0.2">
      <c r="A21" s="39" t="s">
        <v>20</v>
      </c>
      <c r="B21" s="40">
        <v>5079</v>
      </c>
      <c r="C21" s="40">
        <v>3378</v>
      </c>
      <c r="D21" s="44">
        <v>3567</v>
      </c>
      <c r="E21" s="14">
        <f t="shared" si="0"/>
        <v>70.23036030714708</v>
      </c>
      <c r="F21" s="68">
        <f t="shared" si="1"/>
        <v>-1512</v>
      </c>
      <c r="G21" s="45">
        <f t="shared" si="2"/>
        <v>105.59502664298401</v>
      </c>
      <c r="H21" s="46">
        <f t="shared" si="3"/>
        <v>189</v>
      </c>
    </row>
    <row r="22" spans="1:8" ht="18" customHeight="1" x14ac:dyDescent="0.2">
      <c r="A22" s="39" t="s">
        <v>21</v>
      </c>
      <c r="B22" s="40">
        <v>3539</v>
      </c>
      <c r="C22" s="40">
        <v>2466</v>
      </c>
      <c r="D22" s="44">
        <v>2669</v>
      </c>
      <c r="E22" s="14">
        <f t="shared" si="0"/>
        <v>75.416784402373551</v>
      </c>
      <c r="F22" s="68">
        <f t="shared" si="1"/>
        <v>-870</v>
      </c>
      <c r="G22" s="45">
        <f t="shared" si="2"/>
        <v>108.23195458231956</v>
      </c>
      <c r="H22" s="46">
        <f t="shared" si="3"/>
        <v>203</v>
      </c>
    </row>
    <row r="23" spans="1:8" ht="18" customHeight="1" x14ac:dyDescent="0.2">
      <c r="A23" s="39" t="s">
        <v>22</v>
      </c>
      <c r="B23" s="40">
        <v>6339</v>
      </c>
      <c r="C23" s="40">
        <v>4739</v>
      </c>
      <c r="D23" s="44">
        <v>4572</v>
      </c>
      <c r="E23" s="14">
        <f t="shared" si="0"/>
        <v>72.124940842404158</v>
      </c>
      <c r="F23" s="68">
        <f t="shared" si="1"/>
        <v>-1767</v>
      </c>
      <c r="G23" s="45">
        <f t="shared" si="2"/>
        <v>96.476049799535772</v>
      </c>
      <c r="H23" s="46">
        <f t="shared" si="3"/>
        <v>-167</v>
      </c>
    </row>
    <row r="24" spans="1:8" ht="18" customHeight="1" x14ac:dyDescent="0.2">
      <c r="A24" s="39" t="s">
        <v>23</v>
      </c>
      <c r="B24" s="40">
        <v>5919</v>
      </c>
      <c r="C24" s="40">
        <v>4494</v>
      </c>
      <c r="D24" s="44">
        <v>4267</v>
      </c>
      <c r="E24" s="14">
        <f t="shared" si="0"/>
        <v>72.089880047305286</v>
      </c>
      <c r="F24" s="68">
        <f t="shared" si="1"/>
        <v>-1652</v>
      </c>
      <c r="G24" s="45">
        <f t="shared" si="2"/>
        <v>94.948820649755234</v>
      </c>
      <c r="H24" s="46">
        <f t="shared" si="3"/>
        <v>-227</v>
      </c>
    </row>
    <row r="25" spans="1:8" ht="18" customHeight="1" x14ac:dyDescent="0.2">
      <c r="A25" s="39" t="s">
        <v>24</v>
      </c>
      <c r="B25" s="40">
        <v>6299</v>
      </c>
      <c r="C25" s="40">
        <v>4925</v>
      </c>
      <c r="D25" s="44">
        <v>6495</v>
      </c>
      <c r="E25" s="14">
        <f t="shared" si="0"/>
        <v>103.11160501666932</v>
      </c>
      <c r="F25" s="68">
        <f t="shared" si="1"/>
        <v>196</v>
      </c>
      <c r="G25" s="45">
        <f t="shared" si="2"/>
        <v>131.87817258883248</v>
      </c>
      <c r="H25" s="46">
        <f t="shared" si="3"/>
        <v>1570</v>
      </c>
    </row>
    <row r="26" spans="1:8" ht="18" customHeight="1" x14ac:dyDescent="0.2">
      <c r="A26" s="39" t="s">
        <v>25</v>
      </c>
      <c r="B26" s="40">
        <v>4279</v>
      </c>
      <c r="C26" s="40">
        <v>3052</v>
      </c>
      <c r="D26" s="44">
        <v>3310</v>
      </c>
      <c r="E26" s="14">
        <f t="shared" si="0"/>
        <v>77.354522084599211</v>
      </c>
      <c r="F26" s="68">
        <f t="shared" si="1"/>
        <v>-969</v>
      </c>
      <c r="G26" s="45">
        <f t="shared" si="2"/>
        <v>108.45347313237221</v>
      </c>
      <c r="H26" s="46">
        <f t="shared" si="3"/>
        <v>258</v>
      </c>
    </row>
    <row r="27" spans="1:8" ht="18" customHeight="1" x14ac:dyDescent="0.2">
      <c r="A27" s="39" t="s">
        <v>26</v>
      </c>
      <c r="B27" s="40">
        <v>4239</v>
      </c>
      <c r="C27" s="40">
        <v>2867</v>
      </c>
      <c r="D27" s="44">
        <v>3195</v>
      </c>
      <c r="E27" s="14">
        <f t="shared" si="0"/>
        <v>75.371549893842896</v>
      </c>
      <c r="F27" s="68">
        <f t="shared" si="1"/>
        <v>-1044</v>
      </c>
      <c r="G27" s="45">
        <f t="shared" si="2"/>
        <v>111.44053017091036</v>
      </c>
      <c r="H27" s="46">
        <f t="shared" si="3"/>
        <v>328</v>
      </c>
    </row>
    <row r="28" spans="1:8" ht="18" customHeight="1" x14ac:dyDescent="0.2">
      <c r="A28" s="39" t="s">
        <v>27</v>
      </c>
      <c r="B28" s="40">
        <v>4819</v>
      </c>
      <c r="C28" s="40">
        <v>3626</v>
      </c>
      <c r="D28" s="44">
        <v>3876</v>
      </c>
      <c r="E28" s="14">
        <f t="shared" si="0"/>
        <v>80.431624818427068</v>
      </c>
      <c r="F28" s="68">
        <f t="shared" si="1"/>
        <v>-943</v>
      </c>
      <c r="G28" s="45">
        <f t="shared" si="2"/>
        <v>106.89464975179261</v>
      </c>
      <c r="H28" s="46">
        <f t="shared" si="3"/>
        <v>250</v>
      </c>
    </row>
    <row r="29" spans="1:8" ht="18" customHeight="1" x14ac:dyDescent="0.2">
      <c r="A29" s="39" t="s">
        <v>28</v>
      </c>
      <c r="B29" s="40">
        <v>4499</v>
      </c>
      <c r="C29" s="40">
        <v>3298</v>
      </c>
      <c r="D29" s="44">
        <v>2919</v>
      </c>
      <c r="E29" s="14">
        <f t="shared" si="0"/>
        <v>64.881084685485675</v>
      </c>
      <c r="F29" s="68">
        <f t="shared" si="1"/>
        <v>-1580</v>
      </c>
      <c r="G29" s="45">
        <f t="shared" si="2"/>
        <v>88.508186779866577</v>
      </c>
      <c r="H29" s="46">
        <f t="shared" si="3"/>
        <v>-379</v>
      </c>
    </row>
    <row r="30" spans="1:8" ht="18" customHeight="1" x14ac:dyDescent="0.2">
      <c r="A30" s="39" t="s">
        <v>29</v>
      </c>
      <c r="B30" s="40">
        <v>6179</v>
      </c>
      <c r="C30" s="40">
        <v>4625</v>
      </c>
      <c r="D30" s="44">
        <v>5143</v>
      </c>
      <c r="E30" s="14">
        <f t="shared" si="0"/>
        <v>83.233532934131745</v>
      </c>
      <c r="F30" s="68">
        <f t="shared" si="1"/>
        <v>-1036</v>
      </c>
      <c r="G30" s="45">
        <f t="shared" si="2"/>
        <v>111.20000000000002</v>
      </c>
      <c r="H30" s="46">
        <f t="shared" si="3"/>
        <v>518</v>
      </c>
    </row>
    <row r="31" spans="1:8" ht="18" customHeight="1" x14ac:dyDescent="0.2">
      <c r="A31" s="39" t="s">
        <v>30</v>
      </c>
      <c r="B31" s="40">
        <v>3279</v>
      </c>
      <c r="C31" s="40">
        <v>2298</v>
      </c>
      <c r="D31" s="44">
        <v>2467</v>
      </c>
      <c r="E31" s="14">
        <f t="shared" si="0"/>
        <v>75.236352546508073</v>
      </c>
      <c r="F31" s="68">
        <f t="shared" si="1"/>
        <v>-812</v>
      </c>
      <c r="G31" s="45">
        <f t="shared" si="2"/>
        <v>107.35422106179287</v>
      </c>
      <c r="H31" s="46">
        <f t="shared" si="3"/>
        <v>169</v>
      </c>
    </row>
    <row r="32" spans="1:8" ht="18" customHeight="1" x14ac:dyDescent="0.2">
      <c r="A32" s="39" t="s">
        <v>31</v>
      </c>
      <c r="B32" s="40">
        <v>1920</v>
      </c>
      <c r="C32" s="40">
        <v>1448</v>
      </c>
      <c r="D32" s="44">
        <v>1975</v>
      </c>
      <c r="E32" s="14">
        <f t="shared" si="0"/>
        <v>102.86458333333333</v>
      </c>
      <c r="F32" s="68">
        <f t="shared" si="1"/>
        <v>55</v>
      </c>
      <c r="G32" s="45">
        <f t="shared" si="2"/>
        <v>136.39502762430939</v>
      </c>
      <c r="H32" s="46">
        <f t="shared" si="3"/>
        <v>527</v>
      </c>
    </row>
    <row r="33" spans="1:8" ht="18" customHeight="1" x14ac:dyDescent="0.2">
      <c r="A33" s="39" t="s">
        <v>32</v>
      </c>
      <c r="B33" s="40">
        <v>1320</v>
      </c>
      <c r="C33" s="40">
        <v>1064</v>
      </c>
      <c r="D33" s="44">
        <v>1294</v>
      </c>
      <c r="E33" s="14">
        <f t="shared" si="0"/>
        <v>98.030303030303031</v>
      </c>
      <c r="F33" s="68">
        <f t="shared" si="1"/>
        <v>-26</v>
      </c>
      <c r="G33" s="45">
        <f t="shared" si="2"/>
        <v>121.61654135338347</v>
      </c>
      <c r="H33" s="46">
        <f t="shared" si="3"/>
        <v>230</v>
      </c>
    </row>
    <row r="34" spans="1:8" ht="18" customHeight="1" x14ac:dyDescent="0.2">
      <c r="A34" s="39" t="s">
        <v>33</v>
      </c>
      <c r="B34" s="40">
        <v>4579</v>
      </c>
      <c r="C34" s="40">
        <v>3016</v>
      </c>
      <c r="D34" s="44">
        <v>3343</v>
      </c>
      <c r="E34" s="14">
        <f t="shared" si="0"/>
        <v>73.007206813714788</v>
      </c>
      <c r="F34" s="68">
        <f t="shared" si="1"/>
        <v>-1236</v>
      </c>
      <c r="G34" s="45">
        <f t="shared" si="2"/>
        <v>110.842175066313</v>
      </c>
      <c r="H34" s="46">
        <f t="shared" si="3"/>
        <v>327</v>
      </c>
    </row>
    <row r="35" spans="1:8" ht="18" customHeight="1" x14ac:dyDescent="0.2">
      <c r="A35" s="39" t="s">
        <v>34</v>
      </c>
      <c r="B35" s="40">
        <v>3239</v>
      </c>
      <c r="C35" s="40">
        <v>2259</v>
      </c>
      <c r="D35" s="44">
        <v>2643</v>
      </c>
      <c r="E35" s="14">
        <f t="shared" si="0"/>
        <v>81.59925903056498</v>
      </c>
      <c r="F35" s="68">
        <f t="shared" si="1"/>
        <v>-596</v>
      </c>
      <c r="G35" s="45">
        <f t="shared" si="2"/>
        <v>116.99867197875167</v>
      </c>
      <c r="H35" s="46">
        <f t="shared" si="3"/>
        <v>384</v>
      </c>
    </row>
    <row r="36" spans="1:8" ht="18" customHeight="1" x14ac:dyDescent="0.2">
      <c r="A36" s="39" t="s">
        <v>35</v>
      </c>
      <c r="B36" s="40">
        <v>7058</v>
      </c>
      <c r="C36" s="40">
        <v>5277</v>
      </c>
      <c r="D36" s="44">
        <v>5815</v>
      </c>
      <c r="E36" s="14">
        <f t="shared" si="0"/>
        <v>82.388778690847261</v>
      </c>
      <c r="F36" s="68">
        <f t="shared" si="1"/>
        <v>-1243</v>
      </c>
      <c r="G36" s="45">
        <f t="shared" si="2"/>
        <v>110.1951866590866</v>
      </c>
      <c r="H36" s="46">
        <f t="shared" si="3"/>
        <v>538</v>
      </c>
    </row>
    <row r="37" spans="1:8" ht="18" customHeight="1" x14ac:dyDescent="0.2">
      <c r="A37" s="39" t="s">
        <v>36</v>
      </c>
      <c r="B37" s="40">
        <v>2699</v>
      </c>
      <c r="C37" s="40">
        <v>1903</v>
      </c>
      <c r="D37" s="44">
        <v>1882</v>
      </c>
      <c r="E37" s="14">
        <f t="shared" si="0"/>
        <v>69.729529455353827</v>
      </c>
      <c r="F37" s="68">
        <f t="shared" si="1"/>
        <v>-817</v>
      </c>
      <c r="G37" s="45">
        <f t="shared" si="2"/>
        <v>98.89647924330005</v>
      </c>
      <c r="H37" s="46">
        <f t="shared" si="3"/>
        <v>-21</v>
      </c>
    </row>
    <row r="38" spans="1:8" ht="18" customHeight="1" x14ac:dyDescent="0.2">
      <c r="A38" s="39" t="s">
        <v>58</v>
      </c>
      <c r="B38" s="40">
        <v>5359</v>
      </c>
      <c r="C38" s="40">
        <v>3919</v>
      </c>
      <c r="D38" s="44">
        <v>3234</v>
      </c>
      <c r="E38" s="14">
        <f t="shared" si="0"/>
        <v>60.347079679044604</v>
      </c>
      <c r="F38" s="68">
        <f t="shared" si="1"/>
        <v>-2125</v>
      </c>
      <c r="G38" s="45">
        <f t="shared" si="2"/>
        <v>82.521051288594023</v>
      </c>
      <c r="H38" s="46">
        <f t="shared" si="3"/>
        <v>-685</v>
      </c>
    </row>
    <row r="39" spans="1:8" ht="18" customHeight="1" x14ac:dyDescent="0.2">
      <c r="A39" s="39" t="s">
        <v>38</v>
      </c>
      <c r="B39" s="40">
        <v>4419</v>
      </c>
      <c r="C39" s="40">
        <v>3524</v>
      </c>
      <c r="D39" s="44">
        <v>4576</v>
      </c>
      <c r="E39" s="14">
        <f t="shared" si="0"/>
        <v>103.55284000905183</v>
      </c>
      <c r="F39" s="68">
        <f t="shared" si="1"/>
        <v>157</v>
      </c>
      <c r="G39" s="45">
        <f t="shared" si="2"/>
        <v>129.85244040862656</v>
      </c>
      <c r="H39" s="46">
        <f t="shared" si="3"/>
        <v>1052</v>
      </c>
    </row>
    <row r="40" spans="1:8" ht="18" customHeight="1" x14ac:dyDescent="0.2">
      <c r="A40" s="39" t="s">
        <v>39</v>
      </c>
      <c r="B40" s="40">
        <v>1080</v>
      </c>
      <c r="C40" s="40">
        <v>855</v>
      </c>
      <c r="D40" s="44">
        <v>1260</v>
      </c>
      <c r="E40" s="14">
        <f t="shared" si="0"/>
        <v>116.66666666666667</v>
      </c>
      <c r="F40" s="68">
        <f t="shared" si="1"/>
        <v>180</v>
      </c>
      <c r="G40" s="45">
        <f t="shared" si="2"/>
        <v>147.36842105263156</v>
      </c>
      <c r="H40" s="46">
        <f t="shared" si="3"/>
        <v>405</v>
      </c>
    </row>
    <row r="41" spans="1:8" ht="18" customHeight="1" x14ac:dyDescent="0.2">
      <c r="A41" s="39" t="s">
        <v>40</v>
      </c>
      <c r="B41" s="40">
        <v>1820</v>
      </c>
      <c r="C41" s="40">
        <v>1197</v>
      </c>
      <c r="D41" s="44">
        <v>1328</v>
      </c>
      <c r="E41" s="14">
        <f t="shared" si="0"/>
        <v>72.967032967032964</v>
      </c>
      <c r="F41" s="68">
        <f t="shared" si="1"/>
        <v>-492</v>
      </c>
      <c r="G41" s="45">
        <f t="shared" si="2"/>
        <v>110.94402673350041</v>
      </c>
      <c r="H41" s="46">
        <f t="shared" si="3"/>
        <v>131</v>
      </c>
    </row>
    <row r="42" spans="1:8" ht="18" customHeight="1" x14ac:dyDescent="0.2">
      <c r="A42" s="39" t="s">
        <v>41</v>
      </c>
      <c r="B42" s="40">
        <v>2539</v>
      </c>
      <c r="C42" s="40">
        <v>1809</v>
      </c>
      <c r="D42" s="44">
        <v>1970</v>
      </c>
      <c r="E42" s="14">
        <f t="shared" si="0"/>
        <v>77.589602205592755</v>
      </c>
      <c r="F42" s="68">
        <f t="shared" si="1"/>
        <v>-569</v>
      </c>
      <c r="G42" s="45">
        <f t="shared" si="2"/>
        <v>108.89994472084024</v>
      </c>
      <c r="H42" s="46">
        <f t="shared" si="3"/>
        <v>161</v>
      </c>
    </row>
    <row r="43" spans="1:8" ht="18" customHeight="1" x14ac:dyDescent="0.2">
      <c r="A43" s="39" t="s">
        <v>42</v>
      </c>
      <c r="B43" s="40">
        <f>7138+3899</f>
        <v>11037</v>
      </c>
      <c r="C43" s="40">
        <v>8711</v>
      </c>
      <c r="D43" s="44">
        <v>9821</v>
      </c>
      <c r="E43" s="14">
        <f t="shared" si="0"/>
        <v>88.982513364138811</v>
      </c>
      <c r="F43" s="68">
        <f t="shared" si="1"/>
        <v>-1216</v>
      </c>
      <c r="G43" s="45">
        <f t="shared" si="2"/>
        <v>112.74250947078406</v>
      </c>
      <c r="H43" s="46">
        <f t="shared" si="3"/>
        <v>1110</v>
      </c>
    </row>
    <row r="44" spans="1:8" ht="18" customHeight="1" x14ac:dyDescent="0.2">
      <c r="A44" s="39" t="s">
        <v>43</v>
      </c>
      <c r="B44" s="40">
        <v>3919</v>
      </c>
      <c r="C44" s="40">
        <v>2945</v>
      </c>
      <c r="D44" s="44">
        <v>3143</v>
      </c>
      <c r="E44" s="14">
        <f t="shared" si="0"/>
        <v>80.199030364888998</v>
      </c>
      <c r="F44" s="68">
        <f t="shared" si="1"/>
        <v>-776</v>
      </c>
      <c r="G44" s="45">
        <f t="shared" si="2"/>
        <v>106.72325976230901</v>
      </c>
      <c r="H44" s="46">
        <f t="shared" si="3"/>
        <v>198</v>
      </c>
    </row>
    <row r="45" spans="1:8" ht="18" customHeight="1" x14ac:dyDescent="0.2">
      <c r="A45" s="39" t="s">
        <v>44</v>
      </c>
      <c r="B45" s="40">
        <v>3559</v>
      </c>
      <c r="C45" s="40">
        <v>2107</v>
      </c>
      <c r="D45" s="44">
        <v>2313</v>
      </c>
      <c r="E45" s="14">
        <f t="shared" si="0"/>
        <v>64.990165776903623</v>
      </c>
      <c r="F45" s="68">
        <f t="shared" si="1"/>
        <v>-1246</v>
      </c>
      <c r="G45" s="45">
        <f t="shared" si="2"/>
        <v>109.77693402942572</v>
      </c>
      <c r="H45" s="46">
        <f t="shared" si="3"/>
        <v>206</v>
      </c>
    </row>
    <row r="46" spans="1:8" ht="18" customHeight="1" x14ac:dyDescent="0.2">
      <c r="A46" s="39" t="s">
        <v>45</v>
      </c>
      <c r="B46" s="40">
        <v>4699</v>
      </c>
      <c r="C46" s="40">
        <v>3426</v>
      </c>
      <c r="D46" s="44">
        <v>3975</v>
      </c>
      <c r="E46" s="14">
        <f t="shared" si="0"/>
        <v>84.592466482230265</v>
      </c>
      <c r="F46" s="68">
        <f t="shared" si="1"/>
        <v>-724</v>
      </c>
      <c r="G46" s="45">
        <f t="shared" si="2"/>
        <v>116.02451838879159</v>
      </c>
      <c r="H46" s="46">
        <f t="shared" si="3"/>
        <v>549</v>
      </c>
    </row>
    <row r="47" spans="1:8" ht="18" customHeight="1" x14ac:dyDescent="0.2">
      <c r="A47" s="39" t="s">
        <v>46</v>
      </c>
      <c r="B47" s="40">
        <v>2299</v>
      </c>
      <c r="C47" s="40">
        <v>1676</v>
      </c>
      <c r="D47" s="44">
        <v>2123</v>
      </c>
      <c r="E47" s="14">
        <f t="shared" si="0"/>
        <v>92.344497607655512</v>
      </c>
      <c r="F47" s="68">
        <f t="shared" si="1"/>
        <v>-176</v>
      </c>
      <c r="G47" s="45">
        <f t="shared" si="2"/>
        <v>126.67064439140812</v>
      </c>
      <c r="H47" s="46">
        <f t="shared" si="3"/>
        <v>447</v>
      </c>
    </row>
    <row r="48" spans="1:8" ht="18" customHeight="1" x14ac:dyDescent="0.2">
      <c r="A48" s="47" t="s">
        <v>47</v>
      </c>
      <c r="B48" s="48">
        <f>SUM(B12:B47)</f>
        <v>199953</v>
      </c>
      <c r="C48" s="48">
        <f>SUM(C12:C47)</f>
        <v>150682</v>
      </c>
      <c r="D48" s="48">
        <f>SUM(D12:D47)</f>
        <v>163513</v>
      </c>
      <c r="E48" s="20">
        <f t="shared" si="0"/>
        <v>81.775717293563986</v>
      </c>
      <c r="F48" s="21">
        <f t="shared" si="1"/>
        <v>-36440</v>
      </c>
      <c r="G48" s="20">
        <f t="shared" si="2"/>
        <v>108.51528384279476</v>
      </c>
      <c r="H48" s="49">
        <f t="shared" si="3"/>
        <v>12831</v>
      </c>
    </row>
    <row r="49" spans="1:8" ht="18" customHeight="1" x14ac:dyDescent="0.2">
      <c r="A49" s="50" t="s">
        <v>59</v>
      </c>
      <c r="B49" s="51">
        <v>0</v>
      </c>
      <c r="C49" s="51">
        <v>-353</v>
      </c>
      <c r="D49" s="51">
        <v>-216</v>
      </c>
      <c r="E49" s="20">
        <v>0</v>
      </c>
      <c r="F49" s="21">
        <f t="shared" si="1"/>
        <v>-216</v>
      </c>
      <c r="G49" s="20">
        <f t="shared" si="2"/>
        <v>61.189801699716718</v>
      </c>
      <c r="H49" s="49">
        <f t="shared" si="3"/>
        <v>137</v>
      </c>
    </row>
    <row r="50" spans="1:8" ht="27.75" customHeight="1" x14ac:dyDescent="0.2">
      <c r="A50" s="52" t="s">
        <v>60</v>
      </c>
      <c r="B50" s="51">
        <v>0</v>
      </c>
      <c r="C50" s="51">
        <v>10</v>
      </c>
      <c r="D50" s="51">
        <v>37</v>
      </c>
      <c r="E50" s="20">
        <v>0</v>
      </c>
      <c r="F50" s="21">
        <f t="shared" si="1"/>
        <v>37</v>
      </c>
      <c r="G50" s="53" t="s">
        <v>50</v>
      </c>
      <c r="H50" s="49">
        <f t="shared" si="3"/>
        <v>27</v>
      </c>
    </row>
    <row r="51" spans="1:8" ht="19.5" customHeight="1" x14ac:dyDescent="0.2">
      <c r="A51" s="54" t="s">
        <v>61</v>
      </c>
      <c r="B51" s="55">
        <f>+B48+B49+B50</f>
        <v>199953</v>
      </c>
      <c r="C51" s="55">
        <f t="shared" ref="C51:H51" si="4">+C48+C49+C50</f>
        <v>150339</v>
      </c>
      <c r="D51" s="55">
        <f t="shared" si="4"/>
        <v>163334</v>
      </c>
      <c r="E51" s="55">
        <f t="shared" si="4"/>
        <v>81.775717293563986</v>
      </c>
      <c r="F51" s="55">
        <f t="shared" si="4"/>
        <v>-36619</v>
      </c>
      <c r="G51" s="20">
        <f t="shared" si="2"/>
        <v>108.64379834906445</v>
      </c>
      <c r="H51" s="55">
        <f t="shared" si="4"/>
        <v>12995</v>
      </c>
    </row>
    <row r="52" spans="1:8" x14ac:dyDescent="0.2">
      <c r="A52" s="56"/>
      <c r="B52" s="56"/>
      <c r="C52" s="56"/>
      <c r="D52" s="56"/>
      <c r="E52" s="56"/>
      <c r="F52" s="56"/>
    </row>
    <row r="100" ht="19.5" customHeight="1" x14ac:dyDescent="0.2"/>
  </sheetData>
  <dataConsolidate/>
  <mergeCells count="1">
    <mergeCell ref="A5:E5"/>
  </mergeCells>
  <pageMargins left="0.59055118110236227" right="0.27559055118110237" top="0.47244094488188981" bottom="0.98425196850393704" header="0.51181102362204722" footer="0.51181102362204722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0"/>
  <sheetViews>
    <sheetView zoomScale="75" workbookViewId="0">
      <selection activeCell="A2" sqref="A2"/>
    </sheetView>
  </sheetViews>
  <sheetFormatPr defaultRowHeight="12.75" x14ac:dyDescent="0.2"/>
  <cols>
    <col min="1" max="1" width="15.85546875" style="86" customWidth="1"/>
    <col min="2" max="3" width="10.5703125" style="86" customWidth="1"/>
    <col min="4" max="4" width="9.85546875" style="86" customWidth="1"/>
    <col min="5" max="5" width="9.28515625" style="86" customWidth="1"/>
    <col min="6" max="6" width="73.7109375" style="86" customWidth="1"/>
    <col min="7" max="8" width="22" style="86" customWidth="1"/>
    <col min="9" max="9" width="22.7109375" style="86" customWidth="1"/>
    <col min="10" max="10" width="14" style="86" customWidth="1"/>
    <col min="11" max="256" width="9.140625" style="86"/>
    <col min="257" max="257" width="15.85546875" style="86" customWidth="1"/>
    <col min="258" max="259" width="10.5703125" style="86" customWidth="1"/>
    <col min="260" max="260" width="9.85546875" style="86" customWidth="1"/>
    <col min="261" max="261" width="9.28515625" style="86" customWidth="1"/>
    <col min="262" max="262" width="73.7109375" style="86" customWidth="1"/>
    <col min="263" max="264" width="22" style="86" customWidth="1"/>
    <col min="265" max="265" width="22.7109375" style="86" customWidth="1"/>
    <col min="266" max="266" width="14" style="86" customWidth="1"/>
    <col min="267" max="512" width="9.140625" style="86"/>
    <col min="513" max="513" width="15.85546875" style="86" customWidth="1"/>
    <col min="514" max="515" width="10.5703125" style="86" customWidth="1"/>
    <col min="516" max="516" width="9.85546875" style="86" customWidth="1"/>
    <col min="517" max="517" width="9.28515625" style="86" customWidth="1"/>
    <col min="518" max="518" width="73.7109375" style="86" customWidth="1"/>
    <col min="519" max="520" width="22" style="86" customWidth="1"/>
    <col min="521" max="521" width="22.7109375" style="86" customWidth="1"/>
    <col min="522" max="522" width="14" style="86" customWidth="1"/>
    <col min="523" max="768" width="9.140625" style="86"/>
    <col min="769" max="769" width="15.85546875" style="86" customWidth="1"/>
    <col min="770" max="771" width="10.5703125" style="86" customWidth="1"/>
    <col min="772" max="772" width="9.85546875" style="86" customWidth="1"/>
    <col min="773" max="773" width="9.28515625" style="86" customWidth="1"/>
    <col min="774" max="774" width="73.7109375" style="86" customWidth="1"/>
    <col min="775" max="776" width="22" style="86" customWidth="1"/>
    <col min="777" max="777" width="22.7109375" style="86" customWidth="1"/>
    <col min="778" max="778" width="14" style="86" customWidth="1"/>
    <col min="779" max="1024" width="9.140625" style="86"/>
    <col min="1025" max="1025" width="15.85546875" style="86" customWidth="1"/>
    <col min="1026" max="1027" width="10.5703125" style="86" customWidth="1"/>
    <col min="1028" max="1028" width="9.85546875" style="86" customWidth="1"/>
    <col min="1029" max="1029" width="9.28515625" style="86" customWidth="1"/>
    <col min="1030" max="1030" width="73.7109375" style="86" customWidth="1"/>
    <col min="1031" max="1032" width="22" style="86" customWidth="1"/>
    <col min="1033" max="1033" width="22.7109375" style="86" customWidth="1"/>
    <col min="1034" max="1034" width="14" style="86" customWidth="1"/>
    <col min="1035" max="1280" width="9.140625" style="86"/>
    <col min="1281" max="1281" width="15.85546875" style="86" customWidth="1"/>
    <col min="1282" max="1283" width="10.5703125" style="86" customWidth="1"/>
    <col min="1284" max="1284" width="9.85546875" style="86" customWidth="1"/>
    <col min="1285" max="1285" width="9.28515625" style="86" customWidth="1"/>
    <col min="1286" max="1286" width="73.7109375" style="86" customWidth="1"/>
    <col min="1287" max="1288" width="22" style="86" customWidth="1"/>
    <col min="1289" max="1289" width="22.7109375" style="86" customWidth="1"/>
    <col min="1290" max="1290" width="14" style="86" customWidth="1"/>
    <col min="1291" max="1536" width="9.140625" style="86"/>
    <col min="1537" max="1537" width="15.85546875" style="86" customWidth="1"/>
    <col min="1538" max="1539" width="10.5703125" style="86" customWidth="1"/>
    <col min="1540" max="1540" width="9.85546875" style="86" customWidth="1"/>
    <col min="1541" max="1541" width="9.28515625" style="86" customWidth="1"/>
    <col min="1542" max="1542" width="73.7109375" style="86" customWidth="1"/>
    <col min="1543" max="1544" width="22" style="86" customWidth="1"/>
    <col min="1545" max="1545" width="22.7109375" style="86" customWidth="1"/>
    <col min="1546" max="1546" width="14" style="86" customWidth="1"/>
    <col min="1547" max="1792" width="9.140625" style="86"/>
    <col min="1793" max="1793" width="15.85546875" style="86" customWidth="1"/>
    <col min="1794" max="1795" width="10.5703125" style="86" customWidth="1"/>
    <col min="1796" max="1796" width="9.85546875" style="86" customWidth="1"/>
    <col min="1797" max="1797" width="9.28515625" style="86" customWidth="1"/>
    <col min="1798" max="1798" width="73.7109375" style="86" customWidth="1"/>
    <col min="1799" max="1800" width="22" style="86" customWidth="1"/>
    <col min="1801" max="1801" width="22.7109375" style="86" customWidth="1"/>
    <col min="1802" max="1802" width="14" style="86" customWidth="1"/>
    <col min="1803" max="2048" width="9.140625" style="86"/>
    <col min="2049" max="2049" width="15.85546875" style="86" customWidth="1"/>
    <col min="2050" max="2051" width="10.5703125" style="86" customWidth="1"/>
    <col min="2052" max="2052" width="9.85546875" style="86" customWidth="1"/>
    <col min="2053" max="2053" width="9.28515625" style="86" customWidth="1"/>
    <col min="2054" max="2054" width="73.7109375" style="86" customWidth="1"/>
    <col min="2055" max="2056" width="22" style="86" customWidth="1"/>
    <col min="2057" max="2057" width="22.7109375" style="86" customWidth="1"/>
    <col min="2058" max="2058" width="14" style="86" customWidth="1"/>
    <col min="2059" max="2304" width="9.140625" style="86"/>
    <col min="2305" max="2305" width="15.85546875" style="86" customWidth="1"/>
    <col min="2306" max="2307" width="10.5703125" style="86" customWidth="1"/>
    <col min="2308" max="2308" width="9.85546875" style="86" customWidth="1"/>
    <col min="2309" max="2309" width="9.28515625" style="86" customWidth="1"/>
    <col min="2310" max="2310" width="73.7109375" style="86" customWidth="1"/>
    <col min="2311" max="2312" width="22" style="86" customWidth="1"/>
    <col min="2313" max="2313" width="22.7109375" style="86" customWidth="1"/>
    <col min="2314" max="2314" width="14" style="86" customWidth="1"/>
    <col min="2315" max="2560" width="9.140625" style="86"/>
    <col min="2561" max="2561" width="15.85546875" style="86" customWidth="1"/>
    <col min="2562" max="2563" width="10.5703125" style="86" customWidth="1"/>
    <col min="2564" max="2564" width="9.85546875" style="86" customWidth="1"/>
    <col min="2565" max="2565" width="9.28515625" style="86" customWidth="1"/>
    <col min="2566" max="2566" width="73.7109375" style="86" customWidth="1"/>
    <col min="2567" max="2568" width="22" style="86" customWidth="1"/>
    <col min="2569" max="2569" width="22.7109375" style="86" customWidth="1"/>
    <col min="2570" max="2570" width="14" style="86" customWidth="1"/>
    <col min="2571" max="2816" width="9.140625" style="86"/>
    <col min="2817" max="2817" width="15.85546875" style="86" customWidth="1"/>
    <col min="2818" max="2819" width="10.5703125" style="86" customWidth="1"/>
    <col min="2820" max="2820" width="9.85546875" style="86" customWidth="1"/>
    <col min="2821" max="2821" width="9.28515625" style="86" customWidth="1"/>
    <col min="2822" max="2822" width="73.7109375" style="86" customWidth="1"/>
    <col min="2823" max="2824" width="22" style="86" customWidth="1"/>
    <col min="2825" max="2825" width="22.7109375" style="86" customWidth="1"/>
    <col min="2826" max="2826" width="14" style="86" customWidth="1"/>
    <col min="2827" max="3072" width="9.140625" style="86"/>
    <col min="3073" max="3073" width="15.85546875" style="86" customWidth="1"/>
    <col min="3074" max="3075" width="10.5703125" style="86" customWidth="1"/>
    <col min="3076" max="3076" width="9.85546875" style="86" customWidth="1"/>
    <col min="3077" max="3077" width="9.28515625" style="86" customWidth="1"/>
    <col min="3078" max="3078" width="73.7109375" style="86" customWidth="1"/>
    <col min="3079" max="3080" width="22" style="86" customWidth="1"/>
    <col min="3081" max="3081" width="22.7109375" style="86" customWidth="1"/>
    <col min="3082" max="3082" width="14" style="86" customWidth="1"/>
    <col min="3083" max="3328" width="9.140625" style="86"/>
    <col min="3329" max="3329" width="15.85546875" style="86" customWidth="1"/>
    <col min="3330" max="3331" width="10.5703125" style="86" customWidth="1"/>
    <col min="3332" max="3332" width="9.85546875" style="86" customWidth="1"/>
    <col min="3333" max="3333" width="9.28515625" style="86" customWidth="1"/>
    <col min="3334" max="3334" width="73.7109375" style="86" customWidth="1"/>
    <col min="3335" max="3336" width="22" style="86" customWidth="1"/>
    <col min="3337" max="3337" width="22.7109375" style="86" customWidth="1"/>
    <col min="3338" max="3338" width="14" style="86" customWidth="1"/>
    <col min="3339" max="3584" width="9.140625" style="86"/>
    <col min="3585" max="3585" width="15.85546875" style="86" customWidth="1"/>
    <col min="3586" max="3587" width="10.5703125" style="86" customWidth="1"/>
    <col min="3588" max="3588" width="9.85546875" style="86" customWidth="1"/>
    <col min="3589" max="3589" width="9.28515625" style="86" customWidth="1"/>
    <col min="3590" max="3590" width="73.7109375" style="86" customWidth="1"/>
    <col min="3591" max="3592" width="22" style="86" customWidth="1"/>
    <col min="3593" max="3593" width="22.7109375" style="86" customWidth="1"/>
    <col min="3594" max="3594" width="14" style="86" customWidth="1"/>
    <col min="3595" max="3840" width="9.140625" style="86"/>
    <col min="3841" max="3841" width="15.85546875" style="86" customWidth="1"/>
    <col min="3842" max="3843" width="10.5703125" style="86" customWidth="1"/>
    <col min="3844" max="3844" width="9.85546875" style="86" customWidth="1"/>
    <col min="3845" max="3845" width="9.28515625" style="86" customWidth="1"/>
    <col min="3846" max="3846" width="73.7109375" style="86" customWidth="1"/>
    <col min="3847" max="3848" width="22" style="86" customWidth="1"/>
    <col min="3849" max="3849" width="22.7109375" style="86" customWidth="1"/>
    <col min="3850" max="3850" width="14" style="86" customWidth="1"/>
    <col min="3851" max="4096" width="9.140625" style="86"/>
    <col min="4097" max="4097" width="15.85546875" style="86" customWidth="1"/>
    <col min="4098" max="4099" width="10.5703125" style="86" customWidth="1"/>
    <col min="4100" max="4100" width="9.85546875" style="86" customWidth="1"/>
    <col min="4101" max="4101" width="9.28515625" style="86" customWidth="1"/>
    <col min="4102" max="4102" width="73.7109375" style="86" customWidth="1"/>
    <col min="4103" max="4104" width="22" style="86" customWidth="1"/>
    <col min="4105" max="4105" width="22.7109375" style="86" customWidth="1"/>
    <col min="4106" max="4106" width="14" style="86" customWidth="1"/>
    <col min="4107" max="4352" width="9.140625" style="86"/>
    <col min="4353" max="4353" width="15.85546875" style="86" customWidth="1"/>
    <col min="4354" max="4355" width="10.5703125" style="86" customWidth="1"/>
    <col min="4356" max="4356" width="9.85546875" style="86" customWidth="1"/>
    <col min="4357" max="4357" width="9.28515625" style="86" customWidth="1"/>
    <col min="4358" max="4358" width="73.7109375" style="86" customWidth="1"/>
    <col min="4359" max="4360" width="22" style="86" customWidth="1"/>
    <col min="4361" max="4361" width="22.7109375" style="86" customWidth="1"/>
    <col min="4362" max="4362" width="14" style="86" customWidth="1"/>
    <col min="4363" max="4608" width="9.140625" style="86"/>
    <col min="4609" max="4609" width="15.85546875" style="86" customWidth="1"/>
    <col min="4610" max="4611" width="10.5703125" style="86" customWidth="1"/>
    <col min="4612" max="4612" width="9.85546875" style="86" customWidth="1"/>
    <col min="4613" max="4613" width="9.28515625" style="86" customWidth="1"/>
    <col min="4614" max="4614" width="73.7109375" style="86" customWidth="1"/>
    <col min="4615" max="4616" width="22" style="86" customWidth="1"/>
    <col min="4617" max="4617" width="22.7109375" style="86" customWidth="1"/>
    <col min="4618" max="4618" width="14" style="86" customWidth="1"/>
    <col min="4619" max="4864" width="9.140625" style="86"/>
    <col min="4865" max="4865" width="15.85546875" style="86" customWidth="1"/>
    <col min="4866" max="4867" width="10.5703125" style="86" customWidth="1"/>
    <col min="4868" max="4868" width="9.85546875" style="86" customWidth="1"/>
    <col min="4869" max="4869" width="9.28515625" style="86" customWidth="1"/>
    <col min="4870" max="4870" width="73.7109375" style="86" customWidth="1"/>
    <col min="4871" max="4872" width="22" style="86" customWidth="1"/>
    <col min="4873" max="4873" width="22.7109375" style="86" customWidth="1"/>
    <col min="4874" max="4874" width="14" style="86" customWidth="1"/>
    <col min="4875" max="5120" width="9.140625" style="86"/>
    <col min="5121" max="5121" width="15.85546875" style="86" customWidth="1"/>
    <col min="5122" max="5123" width="10.5703125" style="86" customWidth="1"/>
    <col min="5124" max="5124" width="9.85546875" style="86" customWidth="1"/>
    <col min="5125" max="5125" width="9.28515625" style="86" customWidth="1"/>
    <col min="5126" max="5126" width="73.7109375" style="86" customWidth="1"/>
    <col min="5127" max="5128" width="22" style="86" customWidth="1"/>
    <col min="5129" max="5129" width="22.7109375" style="86" customWidth="1"/>
    <col min="5130" max="5130" width="14" style="86" customWidth="1"/>
    <col min="5131" max="5376" width="9.140625" style="86"/>
    <col min="5377" max="5377" width="15.85546875" style="86" customWidth="1"/>
    <col min="5378" max="5379" width="10.5703125" style="86" customWidth="1"/>
    <col min="5380" max="5380" width="9.85546875" style="86" customWidth="1"/>
    <col min="5381" max="5381" width="9.28515625" style="86" customWidth="1"/>
    <col min="5382" max="5382" width="73.7109375" style="86" customWidth="1"/>
    <col min="5383" max="5384" width="22" style="86" customWidth="1"/>
    <col min="5385" max="5385" width="22.7109375" style="86" customWidth="1"/>
    <col min="5386" max="5386" width="14" style="86" customWidth="1"/>
    <col min="5387" max="5632" width="9.140625" style="86"/>
    <col min="5633" max="5633" width="15.85546875" style="86" customWidth="1"/>
    <col min="5634" max="5635" width="10.5703125" style="86" customWidth="1"/>
    <col min="5636" max="5636" width="9.85546875" style="86" customWidth="1"/>
    <col min="5637" max="5637" width="9.28515625" style="86" customWidth="1"/>
    <col min="5638" max="5638" width="73.7109375" style="86" customWidth="1"/>
    <col min="5639" max="5640" width="22" style="86" customWidth="1"/>
    <col min="5641" max="5641" width="22.7109375" style="86" customWidth="1"/>
    <col min="5642" max="5642" width="14" style="86" customWidth="1"/>
    <col min="5643" max="5888" width="9.140625" style="86"/>
    <col min="5889" max="5889" width="15.85546875" style="86" customWidth="1"/>
    <col min="5890" max="5891" width="10.5703125" style="86" customWidth="1"/>
    <col min="5892" max="5892" width="9.85546875" style="86" customWidth="1"/>
    <col min="5893" max="5893" width="9.28515625" style="86" customWidth="1"/>
    <col min="5894" max="5894" width="73.7109375" style="86" customWidth="1"/>
    <col min="5895" max="5896" width="22" style="86" customWidth="1"/>
    <col min="5897" max="5897" width="22.7109375" style="86" customWidth="1"/>
    <col min="5898" max="5898" width="14" style="86" customWidth="1"/>
    <col min="5899" max="6144" width="9.140625" style="86"/>
    <col min="6145" max="6145" width="15.85546875" style="86" customWidth="1"/>
    <col min="6146" max="6147" width="10.5703125" style="86" customWidth="1"/>
    <col min="6148" max="6148" width="9.85546875" style="86" customWidth="1"/>
    <col min="6149" max="6149" width="9.28515625" style="86" customWidth="1"/>
    <col min="6150" max="6150" width="73.7109375" style="86" customWidth="1"/>
    <col min="6151" max="6152" width="22" style="86" customWidth="1"/>
    <col min="6153" max="6153" width="22.7109375" style="86" customWidth="1"/>
    <col min="6154" max="6154" width="14" style="86" customWidth="1"/>
    <col min="6155" max="6400" width="9.140625" style="86"/>
    <col min="6401" max="6401" width="15.85546875" style="86" customWidth="1"/>
    <col min="6402" max="6403" width="10.5703125" style="86" customWidth="1"/>
    <col min="6404" max="6404" width="9.85546875" style="86" customWidth="1"/>
    <col min="6405" max="6405" width="9.28515625" style="86" customWidth="1"/>
    <col min="6406" max="6406" width="73.7109375" style="86" customWidth="1"/>
    <col min="6407" max="6408" width="22" style="86" customWidth="1"/>
    <col min="6409" max="6409" width="22.7109375" style="86" customWidth="1"/>
    <col min="6410" max="6410" width="14" style="86" customWidth="1"/>
    <col min="6411" max="6656" width="9.140625" style="86"/>
    <col min="6657" max="6657" width="15.85546875" style="86" customWidth="1"/>
    <col min="6658" max="6659" width="10.5703125" style="86" customWidth="1"/>
    <col min="6660" max="6660" width="9.85546875" style="86" customWidth="1"/>
    <col min="6661" max="6661" width="9.28515625" style="86" customWidth="1"/>
    <col min="6662" max="6662" width="73.7109375" style="86" customWidth="1"/>
    <col min="6663" max="6664" width="22" style="86" customWidth="1"/>
    <col min="6665" max="6665" width="22.7109375" style="86" customWidth="1"/>
    <col min="6666" max="6666" width="14" style="86" customWidth="1"/>
    <col min="6667" max="6912" width="9.140625" style="86"/>
    <col min="6913" max="6913" width="15.85546875" style="86" customWidth="1"/>
    <col min="6914" max="6915" width="10.5703125" style="86" customWidth="1"/>
    <col min="6916" max="6916" width="9.85546875" style="86" customWidth="1"/>
    <col min="6917" max="6917" width="9.28515625" style="86" customWidth="1"/>
    <col min="6918" max="6918" width="73.7109375" style="86" customWidth="1"/>
    <col min="6919" max="6920" width="22" style="86" customWidth="1"/>
    <col min="6921" max="6921" width="22.7109375" style="86" customWidth="1"/>
    <col min="6922" max="6922" width="14" style="86" customWidth="1"/>
    <col min="6923" max="7168" width="9.140625" style="86"/>
    <col min="7169" max="7169" width="15.85546875" style="86" customWidth="1"/>
    <col min="7170" max="7171" width="10.5703125" style="86" customWidth="1"/>
    <col min="7172" max="7172" width="9.85546875" style="86" customWidth="1"/>
    <col min="7173" max="7173" width="9.28515625" style="86" customWidth="1"/>
    <col min="7174" max="7174" width="73.7109375" style="86" customWidth="1"/>
    <col min="7175" max="7176" width="22" style="86" customWidth="1"/>
    <col min="7177" max="7177" width="22.7109375" style="86" customWidth="1"/>
    <col min="7178" max="7178" width="14" style="86" customWidth="1"/>
    <col min="7179" max="7424" width="9.140625" style="86"/>
    <col min="7425" max="7425" width="15.85546875" style="86" customWidth="1"/>
    <col min="7426" max="7427" width="10.5703125" style="86" customWidth="1"/>
    <col min="7428" max="7428" width="9.85546875" style="86" customWidth="1"/>
    <col min="7429" max="7429" width="9.28515625" style="86" customWidth="1"/>
    <col min="7430" max="7430" width="73.7109375" style="86" customWidth="1"/>
    <col min="7431" max="7432" width="22" style="86" customWidth="1"/>
    <col min="7433" max="7433" width="22.7109375" style="86" customWidth="1"/>
    <col min="7434" max="7434" width="14" style="86" customWidth="1"/>
    <col min="7435" max="7680" width="9.140625" style="86"/>
    <col min="7681" max="7681" width="15.85546875" style="86" customWidth="1"/>
    <col min="7682" max="7683" width="10.5703125" style="86" customWidth="1"/>
    <col min="7684" max="7684" width="9.85546875" style="86" customWidth="1"/>
    <col min="7685" max="7685" width="9.28515625" style="86" customWidth="1"/>
    <col min="7686" max="7686" width="73.7109375" style="86" customWidth="1"/>
    <col min="7687" max="7688" width="22" style="86" customWidth="1"/>
    <col min="7689" max="7689" width="22.7109375" style="86" customWidth="1"/>
    <col min="7690" max="7690" width="14" style="86" customWidth="1"/>
    <col min="7691" max="7936" width="9.140625" style="86"/>
    <col min="7937" max="7937" width="15.85546875" style="86" customWidth="1"/>
    <col min="7938" max="7939" width="10.5703125" style="86" customWidth="1"/>
    <col min="7940" max="7940" width="9.85546875" style="86" customWidth="1"/>
    <col min="7941" max="7941" width="9.28515625" style="86" customWidth="1"/>
    <col min="7942" max="7942" width="73.7109375" style="86" customWidth="1"/>
    <col min="7943" max="7944" width="22" style="86" customWidth="1"/>
    <col min="7945" max="7945" width="22.7109375" style="86" customWidth="1"/>
    <col min="7946" max="7946" width="14" style="86" customWidth="1"/>
    <col min="7947" max="8192" width="9.140625" style="86"/>
    <col min="8193" max="8193" width="15.85546875" style="86" customWidth="1"/>
    <col min="8194" max="8195" width="10.5703125" style="86" customWidth="1"/>
    <col min="8196" max="8196" width="9.85546875" style="86" customWidth="1"/>
    <col min="8197" max="8197" width="9.28515625" style="86" customWidth="1"/>
    <col min="8198" max="8198" width="73.7109375" style="86" customWidth="1"/>
    <col min="8199" max="8200" width="22" style="86" customWidth="1"/>
    <col min="8201" max="8201" width="22.7109375" style="86" customWidth="1"/>
    <col min="8202" max="8202" width="14" style="86" customWidth="1"/>
    <col min="8203" max="8448" width="9.140625" style="86"/>
    <col min="8449" max="8449" width="15.85546875" style="86" customWidth="1"/>
    <col min="8450" max="8451" width="10.5703125" style="86" customWidth="1"/>
    <col min="8452" max="8452" width="9.85546875" style="86" customWidth="1"/>
    <col min="8453" max="8453" width="9.28515625" style="86" customWidth="1"/>
    <col min="8454" max="8454" width="73.7109375" style="86" customWidth="1"/>
    <col min="8455" max="8456" width="22" style="86" customWidth="1"/>
    <col min="8457" max="8457" width="22.7109375" style="86" customWidth="1"/>
    <col min="8458" max="8458" width="14" style="86" customWidth="1"/>
    <col min="8459" max="8704" width="9.140625" style="86"/>
    <col min="8705" max="8705" width="15.85546875" style="86" customWidth="1"/>
    <col min="8706" max="8707" width="10.5703125" style="86" customWidth="1"/>
    <col min="8708" max="8708" width="9.85546875" style="86" customWidth="1"/>
    <col min="8709" max="8709" width="9.28515625" style="86" customWidth="1"/>
    <col min="8710" max="8710" width="73.7109375" style="86" customWidth="1"/>
    <col min="8711" max="8712" width="22" style="86" customWidth="1"/>
    <col min="8713" max="8713" width="22.7109375" style="86" customWidth="1"/>
    <col min="8714" max="8714" width="14" style="86" customWidth="1"/>
    <col min="8715" max="8960" width="9.140625" style="86"/>
    <col min="8961" max="8961" width="15.85546875" style="86" customWidth="1"/>
    <col min="8962" max="8963" width="10.5703125" style="86" customWidth="1"/>
    <col min="8964" max="8964" width="9.85546875" style="86" customWidth="1"/>
    <col min="8965" max="8965" width="9.28515625" style="86" customWidth="1"/>
    <col min="8966" max="8966" width="73.7109375" style="86" customWidth="1"/>
    <col min="8967" max="8968" width="22" style="86" customWidth="1"/>
    <col min="8969" max="8969" width="22.7109375" style="86" customWidth="1"/>
    <col min="8970" max="8970" width="14" style="86" customWidth="1"/>
    <col min="8971" max="9216" width="9.140625" style="86"/>
    <col min="9217" max="9217" width="15.85546875" style="86" customWidth="1"/>
    <col min="9218" max="9219" width="10.5703125" style="86" customWidth="1"/>
    <col min="9220" max="9220" width="9.85546875" style="86" customWidth="1"/>
    <col min="9221" max="9221" width="9.28515625" style="86" customWidth="1"/>
    <col min="9222" max="9222" width="73.7109375" style="86" customWidth="1"/>
    <col min="9223" max="9224" width="22" style="86" customWidth="1"/>
    <col min="9225" max="9225" width="22.7109375" style="86" customWidth="1"/>
    <col min="9226" max="9226" width="14" style="86" customWidth="1"/>
    <col min="9227" max="9472" width="9.140625" style="86"/>
    <col min="9473" max="9473" width="15.85546875" style="86" customWidth="1"/>
    <col min="9474" max="9475" width="10.5703125" style="86" customWidth="1"/>
    <col min="9476" max="9476" width="9.85546875" style="86" customWidth="1"/>
    <col min="9477" max="9477" width="9.28515625" style="86" customWidth="1"/>
    <col min="9478" max="9478" width="73.7109375" style="86" customWidth="1"/>
    <col min="9479" max="9480" width="22" style="86" customWidth="1"/>
    <col min="9481" max="9481" width="22.7109375" style="86" customWidth="1"/>
    <col min="9482" max="9482" width="14" style="86" customWidth="1"/>
    <col min="9483" max="9728" width="9.140625" style="86"/>
    <col min="9729" max="9729" width="15.85546875" style="86" customWidth="1"/>
    <col min="9730" max="9731" width="10.5703125" style="86" customWidth="1"/>
    <col min="9732" max="9732" width="9.85546875" style="86" customWidth="1"/>
    <col min="9733" max="9733" width="9.28515625" style="86" customWidth="1"/>
    <col min="9734" max="9734" width="73.7109375" style="86" customWidth="1"/>
    <col min="9735" max="9736" width="22" style="86" customWidth="1"/>
    <col min="9737" max="9737" width="22.7109375" style="86" customWidth="1"/>
    <col min="9738" max="9738" width="14" style="86" customWidth="1"/>
    <col min="9739" max="9984" width="9.140625" style="86"/>
    <col min="9985" max="9985" width="15.85546875" style="86" customWidth="1"/>
    <col min="9986" max="9987" width="10.5703125" style="86" customWidth="1"/>
    <col min="9988" max="9988" width="9.85546875" style="86" customWidth="1"/>
    <col min="9989" max="9989" width="9.28515625" style="86" customWidth="1"/>
    <col min="9990" max="9990" width="73.7109375" style="86" customWidth="1"/>
    <col min="9991" max="9992" width="22" style="86" customWidth="1"/>
    <col min="9993" max="9993" width="22.7109375" style="86" customWidth="1"/>
    <col min="9994" max="9994" width="14" style="86" customWidth="1"/>
    <col min="9995" max="10240" width="9.140625" style="86"/>
    <col min="10241" max="10241" width="15.85546875" style="86" customWidth="1"/>
    <col min="10242" max="10243" width="10.5703125" style="86" customWidth="1"/>
    <col min="10244" max="10244" width="9.85546875" style="86" customWidth="1"/>
    <col min="10245" max="10245" width="9.28515625" style="86" customWidth="1"/>
    <col min="10246" max="10246" width="73.7109375" style="86" customWidth="1"/>
    <col min="10247" max="10248" width="22" style="86" customWidth="1"/>
    <col min="10249" max="10249" width="22.7109375" style="86" customWidth="1"/>
    <col min="10250" max="10250" width="14" style="86" customWidth="1"/>
    <col min="10251" max="10496" width="9.140625" style="86"/>
    <col min="10497" max="10497" width="15.85546875" style="86" customWidth="1"/>
    <col min="10498" max="10499" width="10.5703125" style="86" customWidth="1"/>
    <col min="10500" max="10500" width="9.85546875" style="86" customWidth="1"/>
    <col min="10501" max="10501" width="9.28515625" style="86" customWidth="1"/>
    <col min="10502" max="10502" width="73.7109375" style="86" customWidth="1"/>
    <col min="10503" max="10504" width="22" style="86" customWidth="1"/>
    <col min="10505" max="10505" width="22.7109375" style="86" customWidth="1"/>
    <col min="10506" max="10506" width="14" style="86" customWidth="1"/>
    <col min="10507" max="10752" width="9.140625" style="86"/>
    <col min="10753" max="10753" width="15.85546875" style="86" customWidth="1"/>
    <col min="10754" max="10755" width="10.5703125" style="86" customWidth="1"/>
    <col min="10756" max="10756" width="9.85546875" style="86" customWidth="1"/>
    <col min="10757" max="10757" width="9.28515625" style="86" customWidth="1"/>
    <col min="10758" max="10758" width="73.7109375" style="86" customWidth="1"/>
    <col min="10759" max="10760" width="22" style="86" customWidth="1"/>
    <col min="10761" max="10761" width="22.7109375" style="86" customWidth="1"/>
    <col min="10762" max="10762" width="14" style="86" customWidth="1"/>
    <col min="10763" max="11008" width="9.140625" style="86"/>
    <col min="11009" max="11009" width="15.85546875" style="86" customWidth="1"/>
    <col min="11010" max="11011" width="10.5703125" style="86" customWidth="1"/>
    <col min="11012" max="11012" width="9.85546875" style="86" customWidth="1"/>
    <col min="11013" max="11013" width="9.28515625" style="86" customWidth="1"/>
    <col min="11014" max="11014" width="73.7109375" style="86" customWidth="1"/>
    <col min="11015" max="11016" width="22" style="86" customWidth="1"/>
    <col min="11017" max="11017" width="22.7109375" style="86" customWidth="1"/>
    <col min="11018" max="11018" width="14" style="86" customWidth="1"/>
    <col min="11019" max="11264" width="9.140625" style="86"/>
    <col min="11265" max="11265" width="15.85546875" style="86" customWidth="1"/>
    <col min="11266" max="11267" width="10.5703125" style="86" customWidth="1"/>
    <col min="11268" max="11268" width="9.85546875" style="86" customWidth="1"/>
    <col min="11269" max="11269" width="9.28515625" style="86" customWidth="1"/>
    <col min="11270" max="11270" width="73.7109375" style="86" customWidth="1"/>
    <col min="11271" max="11272" width="22" style="86" customWidth="1"/>
    <col min="11273" max="11273" width="22.7109375" style="86" customWidth="1"/>
    <col min="11274" max="11274" width="14" style="86" customWidth="1"/>
    <col min="11275" max="11520" width="9.140625" style="86"/>
    <col min="11521" max="11521" width="15.85546875" style="86" customWidth="1"/>
    <col min="11522" max="11523" width="10.5703125" style="86" customWidth="1"/>
    <col min="11524" max="11524" width="9.85546875" style="86" customWidth="1"/>
    <col min="11525" max="11525" width="9.28515625" style="86" customWidth="1"/>
    <col min="11526" max="11526" width="73.7109375" style="86" customWidth="1"/>
    <col min="11527" max="11528" width="22" style="86" customWidth="1"/>
    <col min="11529" max="11529" width="22.7109375" style="86" customWidth="1"/>
    <col min="11530" max="11530" width="14" style="86" customWidth="1"/>
    <col min="11531" max="11776" width="9.140625" style="86"/>
    <col min="11777" max="11777" width="15.85546875" style="86" customWidth="1"/>
    <col min="11778" max="11779" width="10.5703125" style="86" customWidth="1"/>
    <col min="11780" max="11780" width="9.85546875" style="86" customWidth="1"/>
    <col min="11781" max="11781" width="9.28515625" style="86" customWidth="1"/>
    <col min="11782" max="11782" width="73.7109375" style="86" customWidth="1"/>
    <col min="11783" max="11784" width="22" style="86" customWidth="1"/>
    <col min="11785" max="11785" width="22.7109375" style="86" customWidth="1"/>
    <col min="11786" max="11786" width="14" style="86" customWidth="1"/>
    <col min="11787" max="12032" width="9.140625" style="86"/>
    <col min="12033" max="12033" width="15.85546875" style="86" customWidth="1"/>
    <col min="12034" max="12035" width="10.5703125" style="86" customWidth="1"/>
    <col min="12036" max="12036" width="9.85546875" style="86" customWidth="1"/>
    <col min="12037" max="12037" width="9.28515625" style="86" customWidth="1"/>
    <col min="12038" max="12038" width="73.7109375" style="86" customWidth="1"/>
    <col min="12039" max="12040" width="22" style="86" customWidth="1"/>
    <col min="12041" max="12041" width="22.7109375" style="86" customWidth="1"/>
    <col min="12042" max="12042" width="14" style="86" customWidth="1"/>
    <col min="12043" max="12288" width="9.140625" style="86"/>
    <col min="12289" max="12289" width="15.85546875" style="86" customWidth="1"/>
    <col min="12290" max="12291" width="10.5703125" style="86" customWidth="1"/>
    <col min="12292" max="12292" width="9.85546875" style="86" customWidth="1"/>
    <col min="12293" max="12293" width="9.28515625" style="86" customWidth="1"/>
    <col min="12294" max="12294" width="73.7109375" style="86" customWidth="1"/>
    <col min="12295" max="12296" width="22" style="86" customWidth="1"/>
    <col min="12297" max="12297" width="22.7109375" style="86" customWidth="1"/>
    <col min="12298" max="12298" width="14" style="86" customWidth="1"/>
    <col min="12299" max="12544" width="9.140625" style="86"/>
    <col min="12545" max="12545" width="15.85546875" style="86" customWidth="1"/>
    <col min="12546" max="12547" width="10.5703125" style="86" customWidth="1"/>
    <col min="12548" max="12548" width="9.85546875" style="86" customWidth="1"/>
    <col min="12549" max="12549" width="9.28515625" style="86" customWidth="1"/>
    <col min="12550" max="12550" width="73.7109375" style="86" customWidth="1"/>
    <col min="12551" max="12552" width="22" style="86" customWidth="1"/>
    <col min="12553" max="12553" width="22.7109375" style="86" customWidth="1"/>
    <col min="12554" max="12554" width="14" style="86" customWidth="1"/>
    <col min="12555" max="12800" width="9.140625" style="86"/>
    <col min="12801" max="12801" width="15.85546875" style="86" customWidth="1"/>
    <col min="12802" max="12803" width="10.5703125" style="86" customWidth="1"/>
    <col min="12804" max="12804" width="9.85546875" style="86" customWidth="1"/>
    <col min="12805" max="12805" width="9.28515625" style="86" customWidth="1"/>
    <col min="12806" max="12806" width="73.7109375" style="86" customWidth="1"/>
    <col min="12807" max="12808" width="22" style="86" customWidth="1"/>
    <col min="12809" max="12809" width="22.7109375" style="86" customWidth="1"/>
    <col min="12810" max="12810" width="14" style="86" customWidth="1"/>
    <col min="12811" max="13056" width="9.140625" style="86"/>
    <col min="13057" max="13057" width="15.85546875" style="86" customWidth="1"/>
    <col min="13058" max="13059" width="10.5703125" style="86" customWidth="1"/>
    <col min="13060" max="13060" width="9.85546875" style="86" customWidth="1"/>
    <col min="13061" max="13061" width="9.28515625" style="86" customWidth="1"/>
    <col min="13062" max="13062" width="73.7109375" style="86" customWidth="1"/>
    <col min="13063" max="13064" width="22" style="86" customWidth="1"/>
    <col min="13065" max="13065" width="22.7109375" style="86" customWidth="1"/>
    <col min="13066" max="13066" width="14" style="86" customWidth="1"/>
    <col min="13067" max="13312" width="9.140625" style="86"/>
    <col min="13313" max="13313" width="15.85546875" style="86" customWidth="1"/>
    <col min="13314" max="13315" width="10.5703125" style="86" customWidth="1"/>
    <col min="13316" max="13316" width="9.85546875" style="86" customWidth="1"/>
    <col min="13317" max="13317" width="9.28515625" style="86" customWidth="1"/>
    <col min="13318" max="13318" width="73.7109375" style="86" customWidth="1"/>
    <col min="13319" max="13320" width="22" style="86" customWidth="1"/>
    <col min="13321" max="13321" width="22.7109375" style="86" customWidth="1"/>
    <col min="13322" max="13322" width="14" style="86" customWidth="1"/>
    <col min="13323" max="13568" width="9.140625" style="86"/>
    <col min="13569" max="13569" width="15.85546875" style="86" customWidth="1"/>
    <col min="13570" max="13571" width="10.5703125" style="86" customWidth="1"/>
    <col min="13572" max="13572" width="9.85546875" style="86" customWidth="1"/>
    <col min="13573" max="13573" width="9.28515625" style="86" customWidth="1"/>
    <col min="13574" max="13574" width="73.7109375" style="86" customWidth="1"/>
    <col min="13575" max="13576" width="22" style="86" customWidth="1"/>
    <col min="13577" max="13577" width="22.7109375" style="86" customWidth="1"/>
    <col min="13578" max="13578" width="14" style="86" customWidth="1"/>
    <col min="13579" max="13824" width="9.140625" style="86"/>
    <col min="13825" max="13825" width="15.85546875" style="86" customWidth="1"/>
    <col min="13826" max="13827" width="10.5703125" style="86" customWidth="1"/>
    <col min="13828" max="13828" width="9.85546875" style="86" customWidth="1"/>
    <col min="13829" max="13829" width="9.28515625" style="86" customWidth="1"/>
    <col min="13830" max="13830" width="73.7109375" style="86" customWidth="1"/>
    <col min="13831" max="13832" width="22" style="86" customWidth="1"/>
    <col min="13833" max="13833" width="22.7109375" style="86" customWidth="1"/>
    <col min="13834" max="13834" width="14" style="86" customWidth="1"/>
    <col min="13835" max="14080" width="9.140625" style="86"/>
    <col min="14081" max="14081" width="15.85546875" style="86" customWidth="1"/>
    <col min="14082" max="14083" width="10.5703125" style="86" customWidth="1"/>
    <col min="14084" max="14084" width="9.85546875" style="86" customWidth="1"/>
    <col min="14085" max="14085" width="9.28515625" style="86" customWidth="1"/>
    <col min="14086" max="14086" width="73.7109375" style="86" customWidth="1"/>
    <col min="14087" max="14088" width="22" style="86" customWidth="1"/>
    <col min="14089" max="14089" width="22.7109375" style="86" customWidth="1"/>
    <col min="14090" max="14090" width="14" style="86" customWidth="1"/>
    <col min="14091" max="14336" width="9.140625" style="86"/>
    <col min="14337" max="14337" width="15.85546875" style="86" customWidth="1"/>
    <col min="14338" max="14339" width="10.5703125" style="86" customWidth="1"/>
    <col min="14340" max="14340" width="9.85546875" style="86" customWidth="1"/>
    <col min="14341" max="14341" width="9.28515625" style="86" customWidth="1"/>
    <col min="14342" max="14342" width="73.7109375" style="86" customWidth="1"/>
    <col min="14343" max="14344" width="22" style="86" customWidth="1"/>
    <col min="14345" max="14345" width="22.7109375" style="86" customWidth="1"/>
    <col min="14346" max="14346" width="14" style="86" customWidth="1"/>
    <col min="14347" max="14592" width="9.140625" style="86"/>
    <col min="14593" max="14593" width="15.85546875" style="86" customWidth="1"/>
    <col min="14594" max="14595" width="10.5703125" style="86" customWidth="1"/>
    <col min="14596" max="14596" width="9.85546875" style="86" customWidth="1"/>
    <col min="14597" max="14597" width="9.28515625" style="86" customWidth="1"/>
    <col min="14598" max="14598" width="73.7109375" style="86" customWidth="1"/>
    <col min="14599" max="14600" width="22" style="86" customWidth="1"/>
    <col min="14601" max="14601" width="22.7109375" style="86" customWidth="1"/>
    <col min="14602" max="14602" width="14" style="86" customWidth="1"/>
    <col min="14603" max="14848" width="9.140625" style="86"/>
    <col min="14849" max="14849" width="15.85546875" style="86" customWidth="1"/>
    <col min="14850" max="14851" width="10.5703125" style="86" customWidth="1"/>
    <col min="14852" max="14852" width="9.85546875" style="86" customWidth="1"/>
    <col min="14853" max="14853" width="9.28515625" style="86" customWidth="1"/>
    <col min="14854" max="14854" width="73.7109375" style="86" customWidth="1"/>
    <col min="14855" max="14856" width="22" style="86" customWidth="1"/>
    <col min="14857" max="14857" width="22.7109375" style="86" customWidth="1"/>
    <col min="14858" max="14858" width="14" style="86" customWidth="1"/>
    <col min="14859" max="15104" width="9.140625" style="86"/>
    <col min="15105" max="15105" width="15.85546875" style="86" customWidth="1"/>
    <col min="15106" max="15107" width="10.5703125" style="86" customWidth="1"/>
    <col min="15108" max="15108" width="9.85546875" style="86" customWidth="1"/>
    <col min="15109" max="15109" width="9.28515625" style="86" customWidth="1"/>
    <col min="15110" max="15110" width="73.7109375" style="86" customWidth="1"/>
    <col min="15111" max="15112" width="22" style="86" customWidth="1"/>
    <col min="15113" max="15113" width="22.7109375" style="86" customWidth="1"/>
    <col min="15114" max="15114" width="14" style="86" customWidth="1"/>
    <col min="15115" max="15360" width="9.140625" style="86"/>
    <col min="15361" max="15361" width="15.85546875" style="86" customWidth="1"/>
    <col min="15362" max="15363" width="10.5703125" style="86" customWidth="1"/>
    <col min="15364" max="15364" width="9.85546875" style="86" customWidth="1"/>
    <col min="15365" max="15365" width="9.28515625" style="86" customWidth="1"/>
    <col min="15366" max="15366" width="73.7109375" style="86" customWidth="1"/>
    <col min="15367" max="15368" width="22" style="86" customWidth="1"/>
    <col min="15369" max="15369" width="22.7109375" style="86" customWidth="1"/>
    <col min="15370" max="15370" width="14" style="86" customWidth="1"/>
    <col min="15371" max="15616" width="9.140625" style="86"/>
    <col min="15617" max="15617" width="15.85546875" style="86" customWidth="1"/>
    <col min="15618" max="15619" width="10.5703125" style="86" customWidth="1"/>
    <col min="15620" max="15620" width="9.85546875" style="86" customWidth="1"/>
    <col min="15621" max="15621" width="9.28515625" style="86" customWidth="1"/>
    <col min="15622" max="15622" width="73.7109375" style="86" customWidth="1"/>
    <col min="15623" max="15624" width="22" style="86" customWidth="1"/>
    <col min="15625" max="15625" width="22.7109375" style="86" customWidth="1"/>
    <col min="15626" max="15626" width="14" style="86" customWidth="1"/>
    <col min="15627" max="15872" width="9.140625" style="86"/>
    <col min="15873" max="15873" width="15.85546875" style="86" customWidth="1"/>
    <col min="15874" max="15875" width="10.5703125" style="86" customWidth="1"/>
    <col min="15876" max="15876" width="9.85546875" style="86" customWidth="1"/>
    <col min="15877" max="15877" width="9.28515625" style="86" customWidth="1"/>
    <col min="15878" max="15878" width="73.7109375" style="86" customWidth="1"/>
    <col min="15879" max="15880" width="22" style="86" customWidth="1"/>
    <col min="15881" max="15881" width="22.7109375" style="86" customWidth="1"/>
    <col min="15882" max="15882" width="14" style="86" customWidth="1"/>
    <col min="15883" max="16128" width="9.140625" style="86"/>
    <col min="16129" max="16129" width="15.85546875" style="86" customWidth="1"/>
    <col min="16130" max="16131" width="10.5703125" style="86" customWidth="1"/>
    <col min="16132" max="16132" width="9.85546875" style="86" customWidth="1"/>
    <col min="16133" max="16133" width="9.28515625" style="86" customWidth="1"/>
    <col min="16134" max="16134" width="73.7109375" style="86" customWidth="1"/>
    <col min="16135" max="16136" width="22" style="86" customWidth="1"/>
    <col min="16137" max="16137" width="22.7109375" style="86" customWidth="1"/>
    <col min="16138" max="16138" width="14" style="86" customWidth="1"/>
    <col min="16139" max="16384" width="9.140625" style="86"/>
  </cols>
  <sheetData>
    <row r="1" spans="1:10" ht="15" x14ac:dyDescent="0.2">
      <c r="G1" s="87"/>
      <c r="H1" s="87"/>
    </row>
    <row r="3" spans="1:10" ht="23.25" x14ac:dyDescent="0.35">
      <c r="A3" s="88" t="s">
        <v>71</v>
      </c>
      <c r="B3" s="89"/>
      <c r="C3" s="89"/>
      <c r="D3" s="89"/>
      <c r="E3" s="89"/>
      <c r="F3" s="89"/>
      <c r="G3" s="89"/>
      <c r="H3" s="89"/>
      <c r="I3" s="90"/>
      <c r="J3" s="90"/>
    </row>
    <row r="4" spans="1:10" ht="23.25" x14ac:dyDescent="0.35">
      <c r="A4" s="88" t="s">
        <v>72</v>
      </c>
      <c r="B4" s="89"/>
      <c r="C4" s="89"/>
      <c r="D4" s="89"/>
      <c r="E4" s="89"/>
      <c r="F4" s="89"/>
      <c r="G4" s="89"/>
      <c r="H4" s="89"/>
      <c r="I4" s="90"/>
      <c r="J4" s="90"/>
    </row>
    <row r="5" spans="1:10" ht="24.75" customHeight="1" x14ac:dyDescent="0.25">
      <c r="A5" s="88"/>
      <c r="B5" s="88"/>
      <c r="C5" s="88"/>
      <c r="D5" s="88"/>
      <c r="E5" s="91"/>
      <c r="F5" s="91"/>
      <c r="G5" s="90"/>
      <c r="H5" s="90"/>
      <c r="I5" s="90"/>
      <c r="J5" s="90"/>
    </row>
    <row r="6" spans="1:10" ht="15.75" thickBot="1" x14ac:dyDescent="0.25">
      <c r="B6" s="92"/>
      <c r="C6" s="92"/>
      <c r="G6" s="93"/>
      <c r="H6" s="93"/>
      <c r="I6" s="87"/>
      <c r="J6" s="94" t="s">
        <v>73</v>
      </c>
    </row>
    <row r="7" spans="1:10" ht="24" customHeight="1" x14ac:dyDescent="0.25">
      <c r="A7" s="95" t="s">
        <v>74</v>
      </c>
      <c r="B7" s="96" t="s">
        <v>75</v>
      </c>
      <c r="C7" s="97"/>
      <c r="D7" s="97"/>
      <c r="E7" s="98"/>
      <c r="F7" s="99" t="s">
        <v>76</v>
      </c>
      <c r="G7" s="99" t="s">
        <v>77</v>
      </c>
      <c r="H7" s="100" t="s">
        <v>78</v>
      </c>
      <c r="I7" s="100" t="s">
        <v>78</v>
      </c>
      <c r="J7" s="99" t="s">
        <v>79</v>
      </c>
    </row>
    <row r="8" spans="1:10" ht="17.25" customHeight="1" x14ac:dyDescent="0.25">
      <c r="A8" s="101" t="s">
        <v>80</v>
      </c>
      <c r="B8" s="102" t="s">
        <v>81</v>
      </c>
      <c r="C8" s="103" t="s">
        <v>82</v>
      </c>
      <c r="D8" s="104" t="s">
        <v>83</v>
      </c>
      <c r="E8" s="105" t="s">
        <v>84</v>
      </c>
      <c r="F8" s="106"/>
      <c r="G8" s="107" t="s">
        <v>85</v>
      </c>
      <c r="H8" s="108" t="s">
        <v>86</v>
      </c>
      <c r="I8" s="108" t="s">
        <v>87</v>
      </c>
      <c r="J8" s="107" t="s">
        <v>88</v>
      </c>
    </row>
    <row r="9" spans="1:10" ht="15" x14ac:dyDescent="0.25">
      <c r="A9" s="109" t="s">
        <v>89</v>
      </c>
      <c r="B9" s="110" t="s">
        <v>90</v>
      </c>
      <c r="C9" s="103"/>
      <c r="D9" s="103"/>
      <c r="E9" s="111" t="s">
        <v>91</v>
      </c>
      <c r="F9" s="112"/>
      <c r="G9" s="113" t="s">
        <v>92</v>
      </c>
      <c r="H9" s="114" t="s">
        <v>93</v>
      </c>
      <c r="I9" s="114"/>
      <c r="J9" s="115" t="s">
        <v>94</v>
      </c>
    </row>
    <row r="10" spans="1:10" ht="15.75" thickBot="1" x14ac:dyDescent="0.3">
      <c r="A10" s="109" t="s">
        <v>95</v>
      </c>
      <c r="B10" s="116"/>
      <c r="C10" s="117"/>
      <c r="D10" s="117"/>
      <c r="E10" s="118"/>
      <c r="F10" s="119"/>
      <c r="G10" s="120"/>
      <c r="H10" s="121"/>
      <c r="I10" s="122"/>
      <c r="J10" s="123"/>
    </row>
    <row r="11" spans="1:10" ht="15" thickBot="1" x14ac:dyDescent="0.25">
      <c r="A11" s="124" t="s">
        <v>10</v>
      </c>
      <c r="B11" s="125" t="s">
        <v>96</v>
      </c>
      <c r="C11" s="126" t="s">
        <v>97</v>
      </c>
      <c r="D11" s="126" t="s">
        <v>98</v>
      </c>
      <c r="E11" s="127" t="s">
        <v>99</v>
      </c>
      <c r="F11" s="127" t="s">
        <v>100</v>
      </c>
      <c r="G11" s="127">
        <v>1</v>
      </c>
      <c r="H11" s="127">
        <v>2</v>
      </c>
      <c r="I11" s="127">
        <v>3</v>
      </c>
      <c r="J11" s="127">
        <v>4</v>
      </c>
    </row>
    <row r="12" spans="1:10" ht="24.75" customHeight="1" x14ac:dyDescent="0.25">
      <c r="A12" s="128" t="s">
        <v>101</v>
      </c>
      <c r="B12" s="129" t="s">
        <v>102</v>
      </c>
      <c r="C12" s="130"/>
      <c r="D12" s="131"/>
      <c r="E12" s="132"/>
      <c r="F12" s="133" t="s">
        <v>103</v>
      </c>
      <c r="G12" s="134">
        <f>SUM(G13+G21+G22+G80)</f>
        <v>66412296</v>
      </c>
      <c r="H12" s="134">
        <f>SUM(H13+H21+H22+H80)</f>
        <v>8864396</v>
      </c>
      <c r="I12" s="134">
        <f>SUM(I13+I21+I22+I80)</f>
        <v>66343074</v>
      </c>
      <c r="J12" s="135">
        <f t="shared" ref="J12:J18" si="0">SUM($I12/G12)*100</f>
        <v>99.895769301516097</v>
      </c>
    </row>
    <row r="13" spans="1:10" ht="18.95" customHeight="1" x14ac:dyDescent="0.25">
      <c r="A13" s="136" t="s">
        <v>101</v>
      </c>
      <c r="B13" s="137"/>
      <c r="C13" s="138" t="s">
        <v>104</v>
      </c>
      <c r="D13" s="138"/>
      <c r="E13" s="139"/>
      <c r="F13" s="140" t="s">
        <v>105</v>
      </c>
      <c r="G13" s="141">
        <f>SUM(G14+G15+G17+G18+G19+G20)</f>
        <v>35579980</v>
      </c>
      <c r="H13" s="141">
        <f>SUM(H14+H15+H17+H18+H19+H20)</f>
        <v>4706171</v>
      </c>
      <c r="I13" s="141">
        <f>SUM(I14+I15+I17+I18+I19+I20)</f>
        <v>36667907</v>
      </c>
      <c r="J13" s="142">
        <f t="shared" si="0"/>
        <v>103.05769424266119</v>
      </c>
    </row>
    <row r="14" spans="1:10" ht="18.95" customHeight="1" x14ac:dyDescent="0.25">
      <c r="A14" s="143" t="s">
        <v>101</v>
      </c>
      <c r="B14" s="137"/>
      <c r="C14" s="138"/>
      <c r="D14" s="144" t="s">
        <v>106</v>
      </c>
      <c r="E14" s="145"/>
      <c r="F14" s="146" t="s">
        <v>107</v>
      </c>
      <c r="G14" s="147">
        <v>34685516</v>
      </c>
      <c r="H14" s="147">
        <v>3309024</v>
      </c>
      <c r="I14" s="147">
        <v>32928334</v>
      </c>
      <c r="J14" s="148">
        <f t="shared" si="0"/>
        <v>94.933960330877014</v>
      </c>
    </row>
    <row r="15" spans="1:10" ht="18.95" customHeight="1" x14ac:dyDescent="0.25">
      <c r="A15" s="143" t="s">
        <v>101</v>
      </c>
      <c r="B15" s="137"/>
      <c r="C15" s="138"/>
      <c r="D15" s="144" t="s">
        <v>108</v>
      </c>
      <c r="E15" s="145"/>
      <c r="F15" s="146" t="s">
        <v>109</v>
      </c>
      <c r="G15" s="147">
        <f>SUM(G16:G16)</f>
        <v>413257</v>
      </c>
      <c r="H15" s="147">
        <f>SUM(H16:H16)</f>
        <v>7008</v>
      </c>
      <c r="I15" s="147">
        <f>SUM(I16:I16)</f>
        <v>197602</v>
      </c>
      <c r="J15" s="148">
        <f t="shared" si="0"/>
        <v>47.815765976135914</v>
      </c>
    </row>
    <row r="16" spans="1:10" ht="18.95" customHeight="1" x14ac:dyDescent="0.2">
      <c r="A16" s="149" t="s">
        <v>101</v>
      </c>
      <c r="B16" s="150"/>
      <c r="C16" s="151"/>
      <c r="D16" s="152"/>
      <c r="E16" s="153" t="s">
        <v>110</v>
      </c>
      <c r="F16" s="154" t="s">
        <v>111</v>
      </c>
      <c r="G16" s="155">
        <v>413257</v>
      </c>
      <c r="H16" s="155">
        <v>7008</v>
      </c>
      <c r="I16" s="155">
        <v>197602</v>
      </c>
      <c r="J16" s="156">
        <f t="shared" si="0"/>
        <v>47.815765976135914</v>
      </c>
    </row>
    <row r="17" spans="1:10" ht="18.95" customHeight="1" x14ac:dyDescent="0.25">
      <c r="A17" s="143" t="s">
        <v>101</v>
      </c>
      <c r="B17" s="137"/>
      <c r="C17" s="138"/>
      <c r="D17" s="144" t="s">
        <v>112</v>
      </c>
      <c r="E17" s="145"/>
      <c r="F17" s="146" t="s">
        <v>113</v>
      </c>
      <c r="G17" s="147">
        <v>29839</v>
      </c>
      <c r="H17" s="147">
        <v>2194</v>
      </c>
      <c r="I17" s="147">
        <v>27206</v>
      </c>
      <c r="J17" s="148">
        <f t="shared" si="0"/>
        <v>91.175977747243536</v>
      </c>
    </row>
    <row r="18" spans="1:10" ht="18.95" customHeight="1" x14ac:dyDescent="0.25">
      <c r="A18" s="143" t="s">
        <v>101</v>
      </c>
      <c r="B18" s="137"/>
      <c r="C18" s="138"/>
      <c r="D18" s="144" t="s">
        <v>114</v>
      </c>
      <c r="E18" s="145"/>
      <c r="F18" s="146" t="s">
        <v>115</v>
      </c>
      <c r="G18" s="147">
        <v>451368</v>
      </c>
      <c r="H18" s="147">
        <v>1387945</v>
      </c>
      <c r="I18" s="147">
        <v>3514765</v>
      </c>
      <c r="J18" s="148">
        <f t="shared" si="0"/>
        <v>778.69166622356931</v>
      </c>
    </row>
    <row r="19" spans="1:10" ht="18.95" hidden="1" customHeight="1" x14ac:dyDescent="0.25">
      <c r="A19" s="143"/>
      <c r="B19" s="137"/>
      <c r="C19" s="138"/>
      <c r="D19" s="144" t="s">
        <v>116</v>
      </c>
      <c r="E19" s="145"/>
      <c r="F19" s="146" t="s">
        <v>117</v>
      </c>
      <c r="G19" s="147">
        <v>0</v>
      </c>
      <c r="H19" s="147">
        <v>0</v>
      </c>
      <c r="I19" s="147">
        <v>0</v>
      </c>
      <c r="J19" s="148">
        <v>0</v>
      </c>
    </row>
    <row r="20" spans="1:10" ht="18.95" hidden="1" customHeight="1" x14ac:dyDescent="0.25">
      <c r="A20" s="143"/>
      <c r="B20" s="137"/>
      <c r="C20" s="138"/>
      <c r="D20" s="144" t="s">
        <v>118</v>
      </c>
      <c r="E20" s="145"/>
      <c r="F20" s="146" t="s">
        <v>119</v>
      </c>
      <c r="G20" s="147">
        <v>0</v>
      </c>
      <c r="H20" s="147">
        <v>0</v>
      </c>
      <c r="I20" s="147">
        <v>0</v>
      </c>
      <c r="J20" s="148">
        <v>0</v>
      </c>
    </row>
    <row r="21" spans="1:10" ht="18.95" customHeight="1" x14ac:dyDescent="0.25">
      <c r="A21" s="136" t="s">
        <v>101</v>
      </c>
      <c r="B21" s="157"/>
      <c r="C21" s="158" t="s">
        <v>120</v>
      </c>
      <c r="D21" s="158"/>
      <c r="E21" s="159"/>
      <c r="F21" s="160" t="s">
        <v>121</v>
      </c>
      <c r="G21" s="161">
        <v>13810924</v>
      </c>
      <c r="H21" s="161">
        <v>1762704</v>
      </c>
      <c r="I21" s="161">
        <v>13959266</v>
      </c>
      <c r="J21" s="142">
        <f>SUM($I21/G21)*100</f>
        <v>101.07409178415578</v>
      </c>
    </row>
    <row r="22" spans="1:10" ht="18.95" customHeight="1" x14ac:dyDescent="0.25">
      <c r="A22" s="136" t="s">
        <v>101</v>
      </c>
      <c r="B22" s="157"/>
      <c r="C22" s="162" t="s">
        <v>122</v>
      </c>
      <c r="D22" s="158"/>
      <c r="E22" s="163"/>
      <c r="F22" s="160" t="s">
        <v>123</v>
      </c>
      <c r="G22" s="164">
        <f>SUM(G23+G27+G32+G43+G55+G49+G59)</f>
        <v>15234711</v>
      </c>
      <c r="H22" s="164">
        <f>SUM(H23+H27+H32+H43+H55+H49+H59)</f>
        <v>2266334</v>
      </c>
      <c r="I22" s="164">
        <f>SUM(I23+I27+I32+I43+I55+I49+I59)</f>
        <v>13971433</v>
      </c>
      <c r="J22" s="142">
        <f>SUM($I22/G22)*100</f>
        <v>91.707896526557022</v>
      </c>
    </row>
    <row r="23" spans="1:10" ht="18.95" customHeight="1" x14ac:dyDescent="0.2">
      <c r="A23" s="143" t="s">
        <v>101</v>
      </c>
      <c r="B23" s="165"/>
      <c r="C23" s="166"/>
      <c r="D23" s="144" t="s">
        <v>124</v>
      </c>
      <c r="E23" s="167"/>
      <c r="F23" s="146" t="s">
        <v>125</v>
      </c>
      <c r="G23" s="168">
        <f>SUM(G24:G26)</f>
        <v>175499</v>
      </c>
      <c r="H23" s="168">
        <f>SUM(H24:H26)</f>
        <v>9421</v>
      </c>
      <c r="I23" s="168">
        <f>SUM(I24:I26)</f>
        <v>129242</v>
      </c>
      <c r="J23" s="148">
        <f>SUM($I23/G23)*100</f>
        <v>73.642584858033374</v>
      </c>
    </row>
    <row r="24" spans="1:10" ht="19.5" customHeight="1" x14ac:dyDescent="0.2">
      <c r="A24" s="149" t="s">
        <v>101</v>
      </c>
      <c r="B24" s="165"/>
      <c r="C24" s="169"/>
      <c r="D24" s="170"/>
      <c r="E24" s="171">
        <v>631001</v>
      </c>
      <c r="F24" s="172" t="s">
        <v>126</v>
      </c>
      <c r="G24" s="173">
        <v>168691</v>
      </c>
      <c r="H24" s="173">
        <v>9224</v>
      </c>
      <c r="I24" s="173">
        <v>126702</v>
      </c>
      <c r="J24" s="156">
        <f>SUM($I24/G24)*100</f>
        <v>75.108926972986112</v>
      </c>
    </row>
    <row r="25" spans="1:10" ht="18" customHeight="1" x14ac:dyDescent="0.2">
      <c r="A25" s="149" t="s">
        <v>101</v>
      </c>
      <c r="B25" s="165"/>
      <c r="C25" s="169"/>
      <c r="D25" s="170"/>
      <c r="E25" s="171">
        <v>631002</v>
      </c>
      <c r="F25" s="172" t="s">
        <v>127</v>
      </c>
      <c r="G25" s="173">
        <v>0</v>
      </c>
      <c r="H25" s="173">
        <v>0</v>
      </c>
      <c r="I25" s="173">
        <v>78</v>
      </c>
      <c r="J25" s="156">
        <v>0</v>
      </c>
    </row>
    <row r="26" spans="1:10" ht="18.95" customHeight="1" x14ac:dyDescent="0.2">
      <c r="A26" s="149" t="s">
        <v>101</v>
      </c>
      <c r="B26" s="165"/>
      <c r="C26" s="169"/>
      <c r="D26" s="170"/>
      <c r="E26" s="171">
        <v>631004</v>
      </c>
      <c r="F26" s="172" t="s">
        <v>128</v>
      </c>
      <c r="G26" s="173">
        <v>6808</v>
      </c>
      <c r="H26" s="173">
        <v>197</v>
      </c>
      <c r="I26" s="173">
        <v>2462</v>
      </c>
      <c r="J26" s="156">
        <f t="shared" ref="J26:J57" si="1">SUM($I26/G26)*100</f>
        <v>36.163337250293772</v>
      </c>
    </row>
    <row r="27" spans="1:10" ht="18.95" customHeight="1" x14ac:dyDescent="0.2">
      <c r="A27" s="143" t="s">
        <v>101</v>
      </c>
      <c r="B27" s="165"/>
      <c r="C27" s="166"/>
      <c r="D27" s="144" t="s">
        <v>129</v>
      </c>
      <c r="E27" s="167"/>
      <c r="F27" s="146" t="s">
        <v>130</v>
      </c>
      <c r="G27" s="168">
        <f>SUM(G28:G31)</f>
        <v>5042137</v>
      </c>
      <c r="H27" s="168">
        <f>SUM(H28:H31)</f>
        <v>702026</v>
      </c>
      <c r="I27" s="168">
        <f>SUM(I28:I31)</f>
        <v>4717507</v>
      </c>
      <c r="J27" s="148">
        <f t="shared" si="1"/>
        <v>93.561658479331285</v>
      </c>
    </row>
    <row r="28" spans="1:10" ht="18.95" customHeight="1" x14ac:dyDescent="0.2">
      <c r="A28" s="149" t="s">
        <v>101</v>
      </c>
      <c r="B28" s="165"/>
      <c r="C28" s="166"/>
      <c r="D28" s="174"/>
      <c r="E28" s="175">
        <v>632001</v>
      </c>
      <c r="F28" s="176" t="s">
        <v>131</v>
      </c>
      <c r="G28" s="173">
        <v>1381560</v>
      </c>
      <c r="H28" s="173">
        <v>150340</v>
      </c>
      <c r="I28" s="173">
        <v>1252669</v>
      </c>
      <c r="J28" s="156">
        <f t="shared" si="1"/>
        <v>90.670618720866273</v>
      </c>
    </row>
    <row r="29" spans="1:10" ht="18.95" customHeight="1" x14ac:dyDescent="0.2">
      <c r="A29" s="149" t="s">
        <v>101</v>
      </c>
      <c r="B29" s="165"/>
      <c r="C29" s="166"/>
      <c r="D29" s="174"/>
      <c r="E29" s="175">
        <v>632002</v>
      </c>
      <c r="F29" s="176" t="s">
        <v>132</v>
      </c>
      <c r="G29" s="173">
        <v>107448</v>
      </c>
      <c r="H29" s="173">
        <v>18627</v>
      </c>
      <c r="I29" s="173">
        <v>95659</v>
      </c>
      <c r="J29" s="156">
        <f t="shared" si="1"/>
        <v>89.028181073635608</v>
      </c>
    </row>
    <row r="30" spans="1:10" ht="18.95" customHeight="1" x14ac:dyDescent="0.2">
      <c r="A30" s="149" t="s">
        <v>101</v>
      </c>
      <c r="B30" s="165"/>
      <c r="C30" s="166"/>
      <c r="D30" s="174"/>
      <c r="E30" s="175">
        <v>632003</v>
      </c>
      <c r="F30" s="177" t="s">
        <v>133</v>
      </c>
      <c r="G30" s="173">
        <v>3553129</v>
      </c>
      <c r="H30" s="173">
        <f>529938+3121</f>
        <v>533059</v>
      </c>
      <c r="I30" s="173">
        <f>3366058+3121</f>
        <v>3369179</v>
      </c>
      <c r="J30" s="156">
        <f t="shared" si="1"/>
        <v>94.822873022623156</v>
      </c>
    </row>
    <row r="31" spans="1:10" ht="18.95" hidden="1" customHeight="1" x14ac:dyDescent="0.2">
      <c r="A31" s="149" t="s">
        <v>101</v>
      </c>
      <c r="B31" s="165"/>
      <c r="C31" s="166"/>
      <c r="D31" s="174"/>
      <c r="E31" s="175">
        <v>632004</v>
      </c>
      <c r="F31" s="177" t="s">
        <v>134</v>
      </c>
      <c r="G31" s="173">
        <v>0</v>
      </c>
      <c r="H31" s="173">
        <v>0</v>
      </c>
      <c r="I31" s="173">
        <v>0</v>
      </c>
      <c r="J31" s="156" t="e">
        <f t="shared" si="1"/>
        <v>#DIV/0!</v>
      </c>
    </row>
    <row r="32" spans="1:10" ht="18.95" customHeight="1" x14ac:dyDescent="0.2">
      <c r="A32" s="143" t="s">
        <v>101</v>
      </c>
      <c r="B32" s="165"/>
      <c r="C32" s="166"/>
      <c r="D32" s="144" t="s">
        <v>135</v>
      </c>
      <c r="E32" s="167"/>
      <c r="F32" s="146" t="s">
        <v>136</v>
      </c>
      <c r="G32" s="168">
        <f>SUM(G33:G42)</f>
        <v>1883629</v>
      </c>
      <c r="H32" s="168">
        <f>SUM(H33:H42)</f>
        <v>330222</v>
      </c>
      <c r="I32" s="168">
        <f>SUM(I33:I42)</f>
        <v>1302855</v>
      </c>
      <c r="J32" s="148">
        <f t="shared" si="1"/>
        <v>69.167282941598373</v>
      </c>
    </row>
    <row r="33" spans="1:10" ht="18.95" customHeight="1" x14ac:dyDescent="0.2">
      <c r="A33" s="149" t="s">
        <v>101</v>
      </c>
      <c r="B33" s="165"/>
      <c r="C33" s="166"/>
      <c r="D33" s="178"/>
      <c r="E33" s="179" t="s">
        <v>137</v>
      </c>
      <c r="F33" s="180" t="s">
        <v>138</v>
      </c>
      <c r="G33" s="181">
        <v>45709</v>
      </c>
      <c r="H33" s="181">
        <v>17567</v>
      </c>
      <c r="I33" s="181">
        <v>27341</v>
      </c>
      <c r="J33" s="156">
        <f t="shared" si="1"/>
        <v>59.815353650265813</v>
      </c>
    </row>
    <row r="34" spans="1:10" ht="18.95" customHeight="1" x14ac:dyDescent="0.2">
      <c r="A34" s="149" t="s">
        <v>101</v>
      </c>
      <c r="B34" s="165"/>
      <c r="C34" s="166"/>
      <c r="D34" s="178"/>
      <c r="E34" s="179" t="s">
        <v>139</v>
      </c>
      <c r="F34" s="180" t="s">
        <v>140</v>
      </c>
      <c r="G34" s="181">
        <v>108</v>
      </c>
      <c r="H34" s="181">
        <v>0</v>
      </c>
      <c r="I34" s="181">
        <v>106</v>
      </c>
      <c r="J34" s="156">
        <f t="shared" si="1"/>
        <v>98.148148148148152</v>
      </c>
    </row>
    <row r="35" spans="1:10" ht="18.95" customHeight="1" x14ac:dyDescent="0.2">
      <c r="A35" s="149" t="s">
        <v>101</v>
      </c>
      <c r="B35" s="165"/>
      <c r="C35" s="166"/>
      <c r="D35" s="178"/>
      <c r="E35" s="179" t="s">
        <v>141</v>
      </c>
      <c r="F35" s="180" t="s">
        <v>142</v>
      </c>
      <c r="G35" s="181">
        <v>165</v>
      </c>
      <c r="H35" s="181">
        <v>54</v>
      </c>
      <c r="I35" s="181">
        <v>607</v>
      </c>
      <c r="J35" s="156">
        <f t="shared" si="1"/>
        <v>367.87878787878788</v>
      </c>
    </row>
    <row r="36" spans="1:10" ht="18.95" customHeight="1" x14ac:dyDescent="0.2">
      <c r="A36" s="149" t="s">
        <v>101</v>
      </c>
      <c r="B36" s="165"/>
      <c r="C36" s="166"/>
      <c r="D36" s="178"/>
      <c r="E36" s="179" t="s">
        <v>143</v>
      </c>
      <c r="F36" s="180" t="s">
        <v>144</v>
      </c>
      <c r="G36" s="181">
        <v>4403</v>
      </c>
      <c r="H36" s="181">
        <v>410</v>
      </c>
      <c r="I36" s="181">
        <v>2430</v>
      </c>
      <c r="J36" s="156">
        <f t="shared" si="1"/>
        <v>55.189643424937543</v>
      </c>
    </row>
    <row r="37" spans="1:10" ht="18.95" customHeight="1" x14ac:dyDescent="0.2">
      <c r="A37" s="149" t="s">
        <v>101</v>
      </c>
      <c r="B37" s="165"/>
      <c r="C37" s="166"/>
      <c r="D37" s="178"/>
      <c r="E37" s="179" t="s">
        <v>145</v>
      </c>
      <c r="F37" s="180" t="s">
        <v>146</v>
      </c>
      <c r="G37" s="181">
        <v>1756353</v>
      </c>
      <c r="H37" s="181">
        <v>296265</v>
      </c>
      <c r="I37" s="181">
        <v>1233773</v>
      </c>
      <c r="J37" s="156">
        <f t="shared" si="1"/>
        <v>70.246300145813507</v>
      </c>
    </row>
    <row r="38" spans="1:10" ht="18.95" customHeight="1" x14ac:dyDescent="0.2">
      <c r="A38" s="149" t="s">
        <v>101</v>
      </c>
      <c r="B38" s="165"/>
      <c r="C38" s="166"/>
      <c r="D38" s="178"/>
      <c r="E38" s="179" t="s">
        <v>147</v>
      </c>
      <c r="F38" s="180" t="s">
        <v>148</v>
      </c>
      <c r="G38" s="181">
        <v>41629</v>
      </c>
      <c r="H38" s="181">
        <f>881+7743</f>
        <v>8624</v>
      </c>
      <c r="I38" s="181">
        <f>12780+7743</f>
        <v>20523</v>
      </c>
      <c r="J38" s="156">
        <f t="shared" si="1"/>
        <v>49.299766989358382</v>
      </c>
    </row>
    <row r="39" spans="1:10" ht="18.95" customHeight="1" x14ac:dyDescent="0.2">
      <c r="A39" s="149" t="s">
        <v>101</v>
      </c>
      <c r="B39" s="165"/>
      <c r="C39" s="166"/>
      <c r="D39" s="178"/>
      <c r="E39" s="179" t="s">
        <v>149</v>
      </c>
      <c r="F39" s="180" t="s">
        <v>150</v>
      </c>
      <c r="G39" s="181">
        <v>22097</v>
      </c>
      <c r="H39" s="181">
        <v>4451</v>
      </c>
      <c r="I39" s="181">
        <v>7426</v>
      </c>
      <c r="J39" s="156">
        <f t="shared" si="1"/>
        <v>33.606371905688555</v>
      </c>
    </row>
    <row r="40" spans="1:10" ht="18.95" hidden="1" customHeight="1" x14ac:dyDescent="0.2">
      <c r="A40" s="149" t="s">
        <v>101</v>
      </c>
      <c r="B40" s="165"/>
      <c r="C40" s="166"/>
      <c r="D40" s="178"/>
      <c r="E40" s="179" t="s">
        <v>151</v>
      </c>
      <c r="F40" s="180" t="s">
        <v>152</v>
      </c>
      <c r="G40" s="181">
        <v>0</v>
      </c>
      <c r="H40" s="181">
        <v>0</v>
      </c>
      <c r="I40" s="181">
        <v>0</v>
      </c>
      <c r="J40" s="156" t="e">
        <f t="shared" si="1"/>
        <v>#DIV/0!</v>
      </c>
    </row>
    <row r="41" spans="1:10" ht="18.95" hidden="1" customHeight="1" x14ac:dyDescent="0.2">
      <c r="A41" s="149" t="s">
        <v>101</v>
      </c>
      <c r="B41" s="165"/>
      <c r="C41" s="166"/>
      <c r="D41" s="178"/>
      <c r="E41" s="179" t="s">
        <v>153</v>
      </c>
      <c r="F41" s="180" t="s">
        <v>154</v>
      </c>
      <c r="G41" s="181">
        <v>0</v>
      </c>
      <c r="H41" s="181">
        <v>0</v>
      </c>
      <c r="I41" s="181">
        <v>0</v>
      </c>
      <c r="J41" s="156" t="e">
        <f t="shared" si="1"/>
        <v>#DIV/0!</v>
      </c>
    </row>
    <row r="42" spans="1:10" ht="18.95" customHeight="1" x14ac:dyDescent="0.2">
      <c r="A42" s="149" t="s">
        <v>101</v>
      </c>
      <c r="B42" s="165"/>
      <c r="C42" s="166"/>
      <c r="D42" s="178"/>
      <c r="E42" s="179" t="s">
        <v>155</v>
      </c>
      <c r="F42" s="180" t="s">
        <v>156</v>
      </c>
      <c r="G42" s="181">
        <v>13165</v>
      </c>
      <c r="H42" s="181">
        <v>2851</v>
      </c>
      <c r="I42" s="181">
        <v>10649</v>
      </c>
      <c r="J42" s="156">
        <f t="shared" si="1"/>
        <v>80.888720091150773</v>
      </c>
    </row>
    <row r="43" spans="1:10" ht="18.95" customHeight="1" x14ac:dyDescent="0.2">
      <c r="A43" s="143" t="s">
        <v>101</v>
      </c>
      <c r="B43" s="165"/>
      <c r="C43" s="166"/>
      <c r="D43" s="144" t="s">
        <v>157</v>
      </c>
      <c r="E43" s="167"/>
      <c r="F43" s="146" t="s">
        <v>158</v>
      </c>
      <c r="G43" s="168">
        <f>SUM(G44:G48)</f>
        <v>357912</v>
      </c>
      <c r="H43" s="168">
        <f>SUM(H44:H48)</f>
        <v>30985</v>
      </c>
      <c r="I43" s="168">
        <f>SUM(I44:I48)</f>
        <v>264304</v>
      </c>
      <c r="J43" s="148">
        <f t="shared" si="1"/>
        <v>73.846085071190686</v>
      </c>
    </row>
    <row r="44" spans="1:10" ht="18.95" customHeight="1" x14ac:dyDescent="0.2">
      <c r="A44" s="149" t="s">
        <v>101</v>
      </c>
      <c r="B44" s="165"/>
      <c r="C44" s="166"/>
      <c r="D44" s="174"/>
      <c r="E44" s="175">
        <v>634001</v>
      </c>
      <c r="F44" s="182" t="s">
        <v>159</v>
      </c>
      <c r="G44" s="173">
        <v>238020</v>
      </c>
      <c r="H44" s="173">
        <f>23307+161</f>
        <v>23468</v>
      </c>
      <c r="I44" s="173">
        <f>194458+161</f>
        <v>194619</v>
      </c>
      <c r="J44" s="156">
        <f t="shared" si="1"/>
        <v>81.76581799848752</v>
      </c>
    </row>
    <row r="45" spans="1:10" ht="18.95" customHeight="1" x14ac:dyDescent="0.2">
      <c r="A45" s="149" t="s">
        <v>101</v>
      </c>
      <c r="B45" s="165"/>
      <c r="C45" s="166"/>
      <c r="D45" s="174"/>
      <c r="E45" s="175">
        <v>634002</v>
      </c>
      <c r="F45" s="182" t="s">
        <v>160</v>
      </c>
      <c r="G45" s="173">
        <v>91124</v>
      </c>
      <c r="H45" s="173">
        <v>6564</v>
      </c>
      <c r="I45" s="173">
        <v>50491</v>
      </c>
      <c r="J45" s="156">
        <f t="shared" si="1"/>
        <v>55.409112857205564</v>
      </c>
    </row>
    <row r="46" spans="1:10" ht="18.95" customHeight="1" x14ac:dyDescent="0.2">
      <c r="A46" s="149" t="s">
        <v>101</v>
      </c>
      <c r="B46" s="165"/>
      <c r="C46" s="166"/>
      <c r="D46" s="183"/>
      <c r="E46" s="184" t="s">
        <v>161</v>
      </c>
      <c r="F46" s="180" t="s">
        <v>162</v>
      </c>
      <c r="G46" s="173">
        <v>15844</v>
      </c>
      <c r="H46" s="173">
        <v>0</v>
      </c>
      <c r="I46" s="173">
        <v>0</v>
      </c>
      <c r="J46" s="156">
        <f t="shared" si="1"/>
        <v>0</v>
      </c>
    </row>
    <row r="47" spans="1:10" ht="18.95" customHeight="1" x14ac:dyDescent="0.2">
      <c r="A47" s="149" t="s">
        <v>101</v>
      </c>
      <c r="B47" s="165"/>
      <c r="C47" s="166"/>
      <c r="D47" s="183"/>
      <c r="E47" s="175">
        <v>634004</v>
      </c>
      <c r="F47" s="185" t="s">
        <v>163</v>
      </c>
      <c r="G47" s="173">
        <v>6203</v>
      </c>
      <c r="H47" s="173">
        <v>697</v>
      </c>
      <c r="I47" s="173">
        <v>13510</v>
      </c>
      <c r="J47" s="156">
        <f t="shared" si="1"/>
        <v>217.79783975495727</v>
      </c>
    </row>
    <row r="48" spans="1:10" ht="18.95" customHeight="1" x14ac:dyDescent="0.2">
      <c r="A48" s="149" t="s">
        <v>101</v>
      </c>
      <c r="B48" s="165"/>
      <c r="C48" s="166"/>
      <c r="D48" s="183"/>
      <c r="E48" s="175">
        <v>634005</v>
      </c>
      <c r="F48" s="185" t="s">
        <v>164</v>
      </c>
      <c r="G48" s="173">
        <v>6721</v>
      </c>
      <c r="H48" s="173">
        <f>106+150</f>
        <v>256</v>
      </c>
      <c r="I48" s="173">
        <f>5534+150</f>
        <v>5684</v>
      </c>
      <c r="J48" s="156">
        <f t="shared" si="1"/>
        <v>84.570748400535635</v>
      </c>
    </row>
    <row r="49" spans="1:10" ht="18.95" customHeight="1" x14ac:dyDescent="0.2">
      <c r="A49" s="143" t="s">
        <v>101</v>
      </c>
      <c r="B49" s="165"/>
      <c r="C49" s="166"/>
      <c r="D49" s="144" t="s">
        <v>165</v>
      </c>
      <c r="E49" s="186"/>
      <c r="F49" s="146" t="s">
        <v>166</v>
      </c>
      <c r="G49" s="168">
        <f>SUM(G50:G54)</f>
        <v>555036</v>
      </c>
      <c r="H49" s="168">
        <f>SUM(H50:H54)</f>
        <v>160971</v>
      </c>
      <c r="I49" s="168">
        <f>SUM(I50:I54)</f>
        <v>385842</v>
      </c>
      <c r="J49" s="148">
        <f t="shared" si="1"/>
        <v>69.516571898039047</v>
      </c>
    </row>
    <row r="50" spans="1:10" ht="18.95" customHeight="1" x14ac:dyDescent="0.2">
      <c r="A50" s="149" t="s">
        <v>101</v>
      </c>
      <c r="B50" s="165"/>
      <c r="C50" s="166"/>
      <c r="D50" s="174"/>
      <c r="E50" s="175">
        <v>635001</v>
      </c>
      <c r="F50" s="185" t="s">
        <v>167</v>
      </c>
      <c r="G50" s="173">
        <v>3636</v>
      </c>
      <c r="H50" s="173">
        <v>15</v>
      </c>
      <c r="I50" s="173">
        <v>565</v>
      </c>
      <c r="J50" s="187">
        <f t="shared" si="1"/>
        <v>15.53905390539054</v>
      </c>
    </row>
    <row r="51" spans="1:10" ht="18.95" customHeight="1" x14ac:dyDescent="0.2">
      <c r="A51" s="149" t="s">
        <v>101</v>
      </c>
      <c r="B51" s="165"/>
      <c r="C51" s="166"/>
      <c r="D51" s="174"/>
      <c r="E51" s="175">
        <v>635002</v>
      </c>
      <c r="F51" s="185" t="s">
        <v>168</v>
      </c>
      <c r="G51" s="173">
        <v>363940</v>
      </c>
      <c r="H51" s="173">
        <v>114242</v>
      </c>
      <c r="I51" s="173">
        <v>202267</v>
      </c>
      <c r="J51" s="187">
        <f t="shared" si="1"/>
        <v>55.577018189811511</v>
      </c>
    </row>
    <row r="52" spans="1:10" ht="18.95" customHeight="1" x14ac:dyDescent="0.2">
      <c r="A52" s="149" t="s">
        <v>101</v>
      </c>
      <c r="B52" s="165"/>
      <c r="C52" s="166"/>
      <c r="D52" s="174"/>
      <c r="E52" s="175">
        <v>635003</v>
      </c>
      <c r="F52" s="185" t="s">
        <v>169</v>
      </c>
      <c r="G52" s="173">
        <v>588</v>
      </c>
      <c r="H52" s="173">
        <v>0</v>
      </c>
      <c r="I52" s="173">
        <v>0</v>
      </c>
      <c r="J52" s="187">
        <f t="shared" si="1"/>
        <v>0</v>
      </c>
    </row>
    <row r="53" spans="1:10" ht="18.95" customHeight="1" x14ac:dyDescent="0.2">
      <c r="A53" s="149" t="s">
        <v>101</v>
      </c>
      <c r="B53" s="165"/>
      <c r="C53" s="166"/>
      <c r="D53" s="174"/>
      <c r="E53" s="175">
        <v>635004</v>
      </c>
      <c r="F53" s="185" t="s">
        <v>170</v>
      </c>
      <c r="G53" s="173">
        <v>129029</v>
      </c>
      <c r="H53" s="173">
        <v>20518</v>
      </c>
      <c r="I53" s="173">
        <v>119496</v>
      </c>
      <c r="J53" s="187">
        <f t="shared" si="1"/>
        <v>92.611738446395776</v>
      </c>
    </row>
    <row r="54" spans="1:10" ht="18.95" customHeight="1" x14ac:dyDescent="0.2">
      <c r="A54" s="149" t="s">
        <v>101</v>
      </c>
      <c r="B54" s="165"/>
      <c r="C54" s="166"/>
      <c r="D54" s="174"/>
      <c r="E54" s="175">
        <v>635006</v>
      </c>
      <c r="F54" s="182" t="s">
        <v>171</v>
      </c>
      <c r="G54" s="173">
        <v>57843</v>
      </c>
      <c r="H54" s="173">
        <v>26196</v>
      </c>
      <c r="I54" s="173">
        <v>63514</v>
      </c>
      <c r="J54" s="187">
        <f t="shared" si="1"/>
        <v>109.80412495894059</v>
      </c>
    </row>
    <row r="55" spans="1:10" ht="18.95" customHeight="1" x14ac:dyDescent="0.2">
      <c r="A55" s="143" t="s">
        <v>101</v>
      </c>
      <c r="B55" s="165"/>
      <c r="C55" s="166"/>
      <c r="D55" s="144" t="s">
        <v>172</v>
      </c>
      <c r="E55" s="167"/>
      <c r="F55" s="146" t="s">
        <v>173</v>
      </c>
      <c r="G55" s="168">
        <f>SUM(G56:G58)</f>
        <v>2133909</v>
      </c>
      <c r="H55" s="168">
        <f>SUM(H56:H58)</f>
        <v>104304</v>
      </c>
      <c r="I55" s="168">
        <f>SUM(I56:I58)</f>
        <v>2077050</v>
      </c>
      <c r="J55" s="148">
        <f t="shared" si="1"/>
        <v>97.335453386250308</v>
      </c>
    </row>
    <row r="56" spans="1:10" ht="18.95" customHeight="1" x14ac:dyDescent="0.2">
      <c r="A56" s="149" t="s">
        <v>101</v>
      </c>
      <c r="B56" s="165"/>
      <c r="C56" s="166"/>
      <c r="D56" s="188"/>
      <c r="E56" s="175">
        <v>636001</v>
      </c>
      <c r="F56" s="189" t="s">
        <v>174</v>
      </c>
      <c r="G56" s="173">
        <v>2121860</v>
      </c>
      <c r="H56" s="173">
        <v>103405</v>
      </c>
      <c r="I56" s="173">
        <v>2068054</v>
      </c>
      <c r="J56" s="156">
        <f t="shared" si="1"/>
        <v>97.464205932530888</v>
      </c>
    </row>
    <row r="57" spans="1:10" ht="18" customHeight="1" x14ac:dyDescent="0.2">
      <c r="A57" s="149" t="s">
        <v>101</v>
      </c>
      <c r="B57" s="165"/>
      <c r="C57" s="166"/>
      <c r="D57" s="188"/>
      <c r="E57" s="175">
        <v>636002</v>
      </c>
      <c r="F57" s="189" t="s">
        <v>175</v>
      </c>
      <c r="G57" s="173">
        <v>12049</v>
      </c>
      <c r="H57" s="173">
        <v>899</v>
      </c>
      <c r="I57" s="173">
        <v>8996</v>
      </c>
      <c r="J57" s="156">
        <f t="shared" si="1"/>
        <v>74.661797659556811</v>
      </c>
    </row>
    <row r="58" spans="1:10" s="198" customFormat="1" ht="21" hidden="1" customHeight="1" x14ac:dyDescent="0.2">
      <c r="A58" s="190" t="s">
        <v>101</v>
      </c>
      <c r="B58" s="191"/>
      <c r="C58" s="192"/>
      <c r="D58" s="193"/>
      <c r="E58" s="194">
        <v>636005</v>
      </c>
      <c r="F58" s="195" t="s">
        <v>176</v>
      </c>
      <c r="G58" s="196">
        <v>0</v>
      </c>
      <c r="H58" s="173">
        <v>0</v>
      </c>
      <c r="I58" s="173">
        <v>0</v>
      </c>
      <c r="J58" s="197">
        <v>0</v>
      </c>
    </row>
    <row r="59" spans="1:10" ht="18.95" customHeight="1" x14ac:dyDescent="0.2">
      <c r="A59" s="143" t="s">
        <v>101</v>
      </c>
      <c r="B59" s="165"/>
      <c r="C59" s="166"/>
      <c r="D59" s="144" t="s">
        <v>177</v>
      </c>
      <c r="E59" s="167"/>
      <c r="F59" s="146" t="s">
        <v>178</v>
      </c>
      <c r="G59" s="168">
        <f>SUM(G60:G79)</f>
        <v>5086589</v>
      </c>
      <c r="H59" s="168">
        <f>SUM(H60:H79)</f>
        <v>928405</v>
      </c>
      <c r="I59" s="168">
        <f>SUM(I60:I79)</f>
        <v>5094633</v>
      </c>
      <c r="J59" s="148">
        <f t="shared" ref="J59:J74" si="2">SUM($I59/G59)*100</f>
        <v>100.15814133990382</v>
      </c>
    </row>
    <row r="60" spans="1:10" ht="18.95" customHeight="1" x14ac:dyDescent="0.2">
      <c r="A60" s="149" t="s">
        <v>101</v>
      </c>
      <c r="B60" s="165"/>
      <c r="C60" s="166"/>
      <c r="D60" s="178"/>
      <c r="E60" s="179" t="s">
        <v>179</v>
      </c>
      <c r="F60" s="180" t="s">
        <v>180</v>
      </c>
      <c r="G60" s="173">
        <v>18508</v>
      </c>
      <c r="H60" s="173">
        <v>72</v>
      </c>
      <c r="I60" s="173">
        <v>5612</v>
      </c>
      <c r="J60" s="187">
        <f t="shared" si="2"/>
        <v>30.322022909012318</v>
      </c>
    </row>
    <row r="61" spans="1:10" ht="18.95" customHeight="1" x14ac:dyDescent="0.2">
      <c r="A61" s="149" t="s">
        <v>101</v>
      </c>
      <c r="B61" s="165"/>
      <c r="C61" s="166"/>
      <c r="D61" s="178"/>
      <c r="E61" s="179" t="s">
        <v>181</v>
      </c>
      <c r="F61" s="180" t="s">
        <v>182</v>
      </c>
      <c r="G61" s="173">
        <v>4538</v>
      </c>
      <c r="H61" s="173">
        <v>0</v>
      </c>
      <c r="I61" s="173">
        <v>1729</v>
      </c>
      <c r="J61" s="187">
        <f t="shared" si="2"/>
        <v>38.100484795063906</v>
      </c>
    </row>
    <row r="62" spans="1:10" ht="18.95" customHeight="1" x14ac:dyDescent="0.2">
      <c r="A62" s="149" t="s">
        <v>101</v>
      </c>
      <c r="B62" s="165"/>
      <c r="C62" s="166"/>
      <c r="D62" s="178"/>
      <c r="E62" s="179" t="s">
        <v>183</v>
      </c>
      <c r="F62" s="180" t="s">
        <v>184</v>
      </c>
      <c r="G62" s="173">
        <v>863012</v>
      </c>
      <c r="H62" s="173">
        <f>210979+80585</f>
        <v>291564</v>
      </c>
      <c r="I62" s="173">
        <f>703776+80585</f>
        <v>784361</v>
      </c>
      <c r="J62" s="187">
        <f t="shared" si="2"/>
        <v>90.886453490797351</v>
      </c>
    </row>
    <row r="63" spans="1:10" ht="18.95" customHeight="1" x14ac:dyDescent="0.2">
      <c r="A63" s="149" t="s">
        <v>101</v>
      </c>
      <c r="B63" s="165"/>
      <c r="C63" s="166"/>
      <c r="D63" s="178"/>
      <c r="E63" s="179" t="s">
        <v>185</v>
      </c>
      <c r="F63" s="180" t="s">
        <v>186</v>
      </c>
      <c r="G63" s="173">
        <v>237007</v>
      </c>
      <c r="H63" s="173">
        <v>14086</v>
      </c>
      <c r="I63" s="173">
        <v>165505</v>
      </c>
      <c r="J63" s="187">
        <f t="shared" si="2"/>
        <v>69.83127080634749</v>
      </c>
    </row>
    <row r="64" spans="1:10" ht="18.95" customHeight="1" x14ac:dyDescent="0.2">
      <c r="A64" s="149" t="s">
        <v>101</v>
      </c>
      <c r="B64" s="165"/>
      <c r="C64" s="166"/>
      <c r="D64" s="178"/>
      <c r="E64" s="179" t="s">
        <v>187</v>
      </c>
      <c r="F64" s="180" t="s">
        <v>125</v>
      </c>
      <c r="G64" s="173">
        <v>985</v>
      </c>
      <c r="H64" s="173">
        <v>3</v>
      </c>
      <c r="I64" s="173">
        <v>296</v>
      </c>
      <c r="J64" s="187">
        <f t="shared" si="2"/>
        <v>30.050761421319798</v>
      </c>
    </row>
    <row r="65" spans="1:10" s="204" customFormat="1" ht="18" customHeight="1" x14ac:dyDescent="0.2">
      <c r="A65" s="199" t="s">
        <v>101</v>
      </c>
      <c r="B65" s="200"/>
      <c r="C65" s="166"/>
      <c r="D65" s="201"/>
      <c r="E65" s="202" t="s">
        <v>188</v>
      </c>
      <c r="F65" s="203" t="s">
        <v>189</v>
      </c>
      <c r="G65" s="173">
        <v>300</v>
      </c>
      <c r="H65" s="173">
        <v>0</v>
      </c>
      <c r="I65" s="173">
        <v>5228</v>
      </c>
      <c r="J65" s="187">
        <f t="shared" si="2"/>
        <v>1742.6666666666665</v>
      </c>
    </row>
    <row r="66" spans="1:10" ht="18.95" customHeight="1" x14ac:dyDescent="0.2">
      <c r="A66" s="149" t="s">
        <v>101</v>
      </c>
      <c r="B66" s="165"/>
      <c r="C66" s="166"/>
      <c r="D66" s="178"/>
      <c r="E66" s="179" t="s">
        <v>190</v>
      </c>
      <c r="F66" s="180" t="s">
        <v>191</v>
      </c>
      <c r="G66" s="173">
        <v>8561</v>
      </c>
      <c r="H66" s="173">
        <v>6474</v>
      </c>
      <c r="I66" s="173">
        <v>25731</v>
      </c>
      <c r="J66" s="187">
        <f t="shared" si="2"/>
        <v>300.56068216329868</v>
      </c>
    </row>
    <row r="67" spans="1:10" ht="18.95" customHeight="1" x14ac:dyDescent="0.2">
      <c r="A67" s="149" t="s">
        <v>101</v>
      </c>
      <c r="B67" s="165"/>
      <c r="C67" s="166"/>
      <c r="D67" s="178"/>
      <c r="E67" s="179" t="s">
        <v>192</v>
      </c>
      <c r="F67" s="180" t="s">
        <v>193</v>
      </c>
      <c r="G67" s="173">
        <v>166107</v>
      </c>
      <c r="H67" s="173">
        <v>10399</v>
      </c>
      <c r="I67" s="173">
        <v>236542</v>
      </c>
      <c r="J67" s="187">
        <f t="shared" si="2"/>
        <v>142.40339058558641</v>
      </c>
    </row>
    <row r="68" spans="1:10" ht="18.95" customHeight="1" x14ac:dyDescent="0.2">
      <c r="A68" s="149" t="s">
        <v>101</v>
      </c>
      <c r="B68" s="165"/>
      <c r="C68" s="166"/>
      <c r="D68" s="178"/>
      <c r="E68" s="179" t="s">
        <v>194</v>
      </c>
      <c r="F68" s="180" t="s">
        <v>195</v>
      </c>
      <c r="G68" s="173">
        <v>1551551</v>
      </c>
      <c r="H68" s="173">
        <f>122920+67788</f>
        <v>190708</v>
      </c>
      <c r="I68" s="173">
        <f>1463710+67788</f>
        <v>1531498</v>
      </c>
      <c r="J68" s="187">
        <f t="shared" si="2"/>
        <v>98.707551347006955</v>
      </c>
    </row>
    <row r="69" spans="1:10" ht="18.95" customHeight="1" x14ac:dyDescent="0.2">
      <c r="A69" s="149" t="s">
        <v>101</v>
      </c>
      <c r="B69" s="165"/>
      <c r="C69" s="166"/>
      <c r="D69" s="178"/>
      <c r="E69" s="179" t="s">
        <v>196</v>
      </c>
      <c r="F69" s="180" t="s">
        <v>197</v>
      </c>
      <c r="G69" s="173">
        <v>162096</v>
      </c>
      <c r="H69" s="173">
        <v>0</v>
      </c>
      <c r="I69" s="173">
        <v>88811</v>
      </c>
      <c r="J69" s="187">
        <f t="shared" si="2"/>
        <v>54.789137301352284</v>
      </c>
    </row>
    <row r="70" spans="1:10" ht="18.95" customHeight="1" x14ac:dyDescent="0.2">
      <c r="A70" s="149" t="s">
        <v>101</v>
      </c>
      <c r="B70" s="165"/>
      <c r="C70" s="166"/>
      <c r="D70" s="178"/>
      <c r="E70" s="179" t="s">
        <v>198</v>
      </c>
      <c r="F70" s="180" t="s">
        <v>199</v>
      </c>
      <c r="G70" s="173">
        <v>481732</v>
      </c>
      <c r="H70" s="205">
        <v>88526</v>
      </c>
      <c r="I70" s="205">
        <v>456052</v>
      </c>
      <c r="J70" s="187">
        <f t="shared" si="2"/>
        <v>94.669235176405138</v>
      </c>
    </row>
    <row r="71" spans="1:10" s="198" customFormat="1" ht="18.95" hidden="1" customHeight="1" x14ac:dyDescent="0.2">
      <c r="A71" s="190" t="s">
        <v>101</v>
      </c>
      <c r="B71" s="191"/>
      <c r="C71" s="192"/>
      <c r="D71" s="206"/>
      <c r="E71" s="207" t="s">
        <v>200</v>
      </c>
      <c r="F71" s="208" t="s">
        <v>201</v>
      </c>
      <c r="G71" s="196">
        <v>0</v>
      </c>
      <c r="H71" s="196">
        <v>0</v>
      </c>
      <c r="I71" s="196">
        <v>0</v>
      </c>
      <c r="J71" s="187" t="e">
        <f t="shared" si="2"/>
        <v>#DIV/0!</v>
      </c>
    </row>
    <row r="72" spans="1:10" ht="18.95" customHeight="1" x14ac:dyDescent="0.2">
      <c r="A72" s="149" t="s">
        <v>101</v>
      </c>
      <c r="B72" s="165"/>
      <c r="C72" s="166"/>
      <c r="D72" s="178"/>
      <c r="E72" s="179" t="s">
        <v>202</v>
      </c>
      <c r="F72" s="180" t="s">
        <v>203</v>
      </c>
      <c r="G72" s="173">
        <v>27</v>
      </c>
      <c r="H72" s="173">
        <v>0</v>
      </c>
      <c r="I72" s="173">
        <v>2</v>
      </c>
      <c r="J72" s="187">
        <f t="shared" si="2"/>
        <v>7.4074074074074066</v>
      </c>
    </row>
    <row r="73" spans="1:10" ht="18.95" hidden="1" customHeight="1" x14ac:dyDescent="0.2">
      <c r="A73" s="149" t="s">
        <v>101</v>
      </c>
      <c r="B73" s="165"/>
      <c r="C73" s="166"/>
      <c r="D73" s="178"/>
      <c r="E73" s="179" t="s">
        <v>204</v>
      </c>
      <c r="F73" s="180" t="s">
        <v>205</v>
      </c>
      <c r="G73" s="173">
        <v>0</v>
      </c>
      <c r="H73" s="173">
        <v>0</v>
      </c>
      <c r="I73" s="173">
        <v>0</v>
      </c>
      <c r="J73" s="187" t="e">
        <f t="shared" si="2"/>
        <v>#DIV/0!</v>
      </c>
    </row>
    <row r="74" spans="1:10" ht="18.95" customHeight="1" x14ac:dyDescent="0.2">
      <c r="A74" s="149" t="s">
        <v>101</v>
      </c>
      <c r="B74" s="165"/>
      <c r="C74" s="166"/>
      <c r="D74" s="178"/>
      <c r="E74" s="179" t="s">
        <v>206</v>
      </c>
      <c r="F74" s="180" t="s">
        <v>207</v>
      </c>
      <c r="G74" s="173">
        <v>108292</v>
      </c>
      <c r="H74" s="173">
        <v>9851</v>
      </c>
      <c r="I74" s="173">
        <v>96963</v>
      </c>
      <c r="J74" s="187">
        <f t="shared" si="2"/>
        <v>89.538470062423812</v>
      </c>
    </row>
    <row r="75" spans="1:10" ht="21.75" customHeight="1" x14ac:dyDescent="0.2">
      <c r="A75" s="149" t="s">
        <v>208</v>
      </c>
      <c r="B75" s="165"/>
      <c r="C75" s="166"/>
      <c r="D75" s="178"/>
      <c r="E75" s="179" t="s">
        <v>209</v>
      </c>
      <c r="F75" s="180" t="s">
        <v>210</v>
      </c>
      <c r="G75" s="173">
        <v>0</v>
      </c>
      <c r="H75" s="173">
        <v>0</v>
      </c>
      <c r="I75" s="173">
        <v>17</v>
      </c>
      <c r="J75" s="187">
        <v>0</v>
      </c>
    </row>
    <row r="76" spans="1:10" ht="26.25" hidden="1" customHeight="1" x14ac:dyDescent="0.2">
      <c r="A76" s="149" t="s">
        <v>101</v>
      </c>
      <c r="B76" s="165"/>
      <c r="C76" s="166"/>
      <c r="D76" s="178"/>
      <c r="E76" s="179" t="s">
        <v>211</v>
      </c>
      <c r="F76" s="180" t="s">
        <v>212</v>
      </c>
      <c r="G76" s="173">
        <v>0</v>
      </c>
      <c r="H76" s="173">
        <v>0</v>
      </c>
      <c r="I76" s="173">
        <v>0</v>
      </c>
      <c r="J76" s="187" t="e">
        <f t="shared" ref="J76:J88" si="3">SUM($I76/G76)*100</f>
        <v>#DIV/0!</v>
      </c>
    </row>
    <row r="77" spans="1:10" s="198" customFormat="1" ht="17.25" hidden="1" customHeight="1" x14ac:dyDescent="0.2">
      <c r="A77" s="190" t="s">
        <v>101</v>
      </c>
      <c r="B77" s="191"/>
      <c r="C77" s="192"/>
      <c r="D77" s="206"/>
      <c r="E77" s="207" t="s">
        <v>213</v>
      </c>
      <c r="F77" s="208" t="s">
        <v>214</v>
      </c>
      <c r="G77" s="196">
        <v>0</v>
      </c>
      <c r="H77" s="196">
        <v>0</v>
      </c>
      <c r="I77" s="196">
        <v>0</v>
      </c>
      <c r="J77" s="187" t="e">
        <f t="shared" si="3"/>
        <v>#DIV/0!</v>
      </c>
    </row>
    <row r="78" spans="1:10" ht="18.95" customHeight="1" x14ac:dyDescent="0.2">
      <c r="A78" s="149" t="s">
        <v>101</v>
      </c>
      <c r="B78" s="165"/>
      <c r="C78" s="166"/>
      <c r="D78" s="178"/>
      <c r="E78" s="179" t="s">
        <v>215</v>
      </c>
      <c r="F78" s="180" t="s">
        <v>216</v>
      </c>
      <c r="G78" s="173">
        <v>1429078</v>
      </c>
      <c r="H78" s="173">
        <v>316722</v>
      </c>
      <c r="I78" s="173">
        <v>1641044</v>
      </c>
      <c r="J78" s="187">
        <f t="shared" si="3"/>
        <v>114.83236044498622</v>
      </c>
    </row>
    <row r="79" spans="1:10" ht="18.95" customHeight="1" x14ac:dyDescent="0.2">
      <c r="A79" s="149" t="s">
        <v>101</v>
      </c>
      <c r="B79" s="165"/>
      <c r="C79" s="166"/>
      <c r="D79" s="178"/>
      <c r="E79" s="179" t="s">
        <v>217</v>
      </c>
      <c r="F79" s="180" t="s">
        <v>218</v>
      </c>
      <c r="G79" s="173">
        <v>54795</v>
      </c>
      <c r="H79" s="173">
        <v>0</v>
      </c>
      <c r="I79" s="173">
        <v>55242</v>
      </c>
      <c r="J79" s="187">
        <f t="shared" si="3"/>
        <v>100.81576786203121</v>
      </c>
    </row>
    <row r="80" spans="1:10" ht="18.95" customHeight="1" x14ac:dyDescent="0.25">
      <c r="A80" s="136" t="s">
        <v>101</v>
      </c>
      <c r="B80" s="157"/>
      <c r="C80" s="162" t="s">
        <v>219</v>
      </c>
      <c r="D80" s="158"/>
      <c r="E80" s="163"/>
      <c r="F80" s="160" t="s">
        <v>220</v>
      </c>
      <c r="G80" s="209">
        <f>SUM(G81+G87)</f>
        <v>1786681</v>
      </c>
      <c r="H80" s="209">
        <f>SUM(H81+H87)</f>
        <v>129187</v>
      </c>
      <c r="I80" s="209">
        <f>SUM(I81+I87)</f>
        <v>1744468</v>
      </c>
      <c r="J80" s="142">
        <f t="shared" si="3"/>
        <v>97.637351043639015</v>
      </c>
    </row>
    <row r="81" spans="1:10" ht="18.95" customHeight="1" x14ac:dyDescent="0.2">
      <c r="A81" s="143" t="s">
        <v>101</v>
      </c>
      <c r="B81" s="165"/>
      <c r="C81" s="166"/>
      <c r="D81" s="144" t="s">
        <v>221</v>
      </c>
      <c r="E81" s="167"/>
      <c r="F81" s="146" t="s">
        <v>222</v>
      </c>
      <c r="G81" s="168">
        <f>SUM(G82:G86)</f>
        <v>1786681</v>
      </c>
      <c r="H81" s="168">
        <f>SUM(H82:H86)</f>
        <v>129187</v>
      </c>
      <c r="I81" s="168">
        <f>SUM(I82:I86)</f>
        <v>1744468</v>
      </c>
      <c r="J81" s="148">
        <f t="shared" si="3"/>
        <v>97.637351043639015</v>
      </c>
    </row>
    <row r="82" spans="1:10" ht="18.95" customHeight="1" x14ac:dyDescent="0.2">
      <c r="A82" s="149" t="s">
        <v>101</v>
      </c>
      <c r="B82" s="165"/>
      <c r="C82" s="166"/>
      <c r="D82" s="178"/>
      <c r="E82" s="179" t="s">
        <v>223</v>
      </c>
      <c r="F82" s="180" t="s">
        <v>224</v>
      </c>
      <c r="G82" s="173">
        <v>1183607</v>
      </c>
      <c r="H82" s="205">
        <v>95964</v>
      </c>
      <c r="I82" s="205">
        <v>1264863</v>
      </c>
      <c r="J82" s="156">
        <f t="shared" si="3"/>
        <v>106.86511654628606</v>
      </c>
    </row>
    <row r="83" spans="1:10" ht="18.95" customHeight="1" x14ac:dyDescent="0.2">
      <c r="A83" s="149" t="s">
        <v>101</v>
      </c>
      <c r="B83" s="165"/>
      <c r="C83" s="166"/>
      <c r="D83" s="178"/>
      <c r="E83" s="179" t="s">
        <v>225</v>
      </c>
      <c r="F83" s="180" t="s">
        <v>226</v>
      </c>
      <c r="G83" s="173">
        <v>356379</v>
      </c>
      <c r="H83" s="205">
        <v>15049</v>
      </c>
      <c r="I83" s="205">
        <v>250447</v>
      </c>
      <c r="J83" s="156">
        <f t="shared" si="3"/>
        <v>70.275465164894683</v>
      </c>
    </row>
    <row r="84" spans="1:10" ht="18.95" customHeight="1" x14ac:dyDescent="0.2">
      <c r="A84" s="149" t="s">
        <v>101</v>
      </c>
      <c r="B84" s="165"/>
      <c r="C84" s="166"/>
      <c r="D84" s="178"/>
      <c r="E84" s="179" t="s">
        <v>227</v>
      </c>
      <c r="F84" s="180" t="s">
        <v>228</v>
      </c>
      <c r="G84" s="173">
        <v>16242</v>
      </c>
      <c r="H84" s="205">
        <v>976</v>
      </c>
      <c r="I84" s="205">
        <v>11343</v>
      </c>
      <c r="J84" s="156">
        <f t="shared" si="3"/>
        <v>69.837458441078681</v>
      </c>
    </row>
    <row r="85" spans="1:10" ht="18.75" customHeight="1" x14ac:dyDescent="0.2">
      <c r="A85" s="149" t="s">
        <v>101</v>
      </c>
      <c r="B85" s="165"/>
      <c r="C85" s="166"/>
      <c r="D85" s="178"/>
      <c r="E85" s="179" t="s">
        <v>229</v>
      </c>
      <c r="F85" s="180" t="s">
        <v>230</v>
      </c>
      <c r="G85" s="173">
        <v>230453</v>
      </c>
      <c r="H85" s="205">
        <v>17198</v>
      </c>
      <c r="I85" s="205">
        <v>217815</v>
      </c>
      <c r="J85" s="156">
        <f t="shared" si="3"/>
        <v>94.516018450616826</v>
      </c>
    </row>
    <row r="86" spans="1:10" ht="18.95" hidden="1" customHeight="1" x14ac:dyDescent="0.2">
      <c r="A86" s="149" t="s">
        <v>101</v>
      </c>
      <c r="B86" s="165"/>
      <c r="C86" s="166"/>
      <c r="D86" s="178"/>
      <c r="E86" s="179" t="s">
        <v>231</v>
      </c>
      <c r="F86" s="180" t="s">
        <v>232</v>
      </c>
      <c r="G86" s="173">
        <v>0</v>
      </c>
      <c r="H86" s="173">
        <v>0</v>
      </c>
      <c r="I86" s="173">
        <v>0</v>
      </c>
      <c r="J86" s="156" t="e">
        <f t="shared" si="3"/>
        <v>#DIV/0!</v>
      </c>
    </row>
    <row r="87" spans="1:10" ht="18.95" hidden="1" customHeight="1" x14ac:dyDescent="0.2">
      <c r="A87" s="143" t="s">
        <v>101</v>
      </c>
      <c r="B87" s="165"/>
      <c r="C87" s="166"/>
      <c r="D87" s="144" t="s">
        <v>233</v>
      </c>
      <c r="E87" s="179"/>
      <c r="F87" s="146" t="s">
        <v>234</v>
      </c>
      <c r="G87" s="168">
        <f>SUM(G88)</f>
        <v>0</v>
      </c>
      <c r="H87" s="168">
        <f>SUM(H88)</f>
        <v>0</v>
      </c>
      <c r="I87" s="168">
        <f>SUM(I88)</f>
        <v>0</v>
      </c>
      <c r="J87" s="148" t="e">
        <f t="shared" si="3"/>
        <v>#DIV/0!</v>
      </c>
    </row>
    <row r="88" spans="1:10" ht="18.95" hidden="1" customHeight="1" x14ac:dyDescent="0.2">
      <c r="A88" s="149" t="s">
        <v>101</v>
      </c>
      <c r="B88" s="165"/>
      <c r="C88" s="166"/>
      <c r="D88" s="178"/>
      <c r="E88" s="179" t="s">
        <v>235</v>
      </c>
      <c r="F88" s="180" t="s">
        <v>236</v>
      </c>
      <c r="G88" s="173">
        <v>0</v>
      </c>
      <c r="H88" s="173">
        <v>0</v>
      </c>
      <c r="I88" s="173">
        <v>0</v>
      </c>
      <c r="J88" s="156" t="e">
        <f t="shared" si="3"/>
        <v>#DIV/0!</v>
      </c>
    </row>
    <row r="89" spans="1:10" ht="15" thickBot="1" x14ac:dyDescent="0.25">
      <c r="A89" s="210"/>
      <c r="B89" s="211"/>
      <c r="C89" s="212"/>
      <c r="D89" s="212"/>
      <c r="E89" s="213"/>
      <c r="F89" s="214"/>
      <c r="G89" s="215"/>
      <c r="H89" s="215"/>
      <c r="I89" s="215"/>
      <c r="J89" s="216"/>
    </row>
    <row r="90" spans="1:10" x14ac:dyDescent="0.2">
      <c r="B90" s="217"/>
      <c r="C90" s="217"/>
      <c r="D90" s="217"/>
      <c r="E90" s="217"/>
      <c r="F90" s="217"/>
    </row>
    <row r="91" spans="1:10" x14ac:dyDescent="0.2">
      <c r="B91" s="217"/>
      <c r="C91" s="217"/>
      <c r="D91" s="217"/>
      <c r="E91" s="217"/>
      <c r="F91" s="217"/>
    </row>
    <row r="92" spans="1:10" x14ac:dyDescent="0.2">
      <c r="B92" s="217"/>
      <c r="C92" s="217"/>
      <c r="D92" s="217"/>
      <c r="E92" s="217"/>
      <c r="F92" s="217"/>
    </row>
    <row r="93" spans="1:10" x14ac:dyDescent="0.2">
      <c r="B93" s="217"/>
      <c r="C93" s="217"/>
      <c r="D93" s="217"/>
      <c r="E93" s="217"/>
      <c r="F93" s="217"/>
    </row>
    <row r="94" spans="1:10" x14ac:dyDescent="0.2">
      <c r="B94" s="217"/>
      <c r="C94" s="217"/>
      <c r="D94" s="217"/>
      <c r="E94" s="217"/>
      <c r="F94" s="217"/>
    </row>
    <row r="95" spans="1:10" x14ac:dyDescent="0.2">
      <c r="B95" s="217"/>
      <c r="C95" s="217"/>
      <c r="D95" s="217"/>
      <c r="E95" s="217"/>
      <c r="F95" s="217"/>
    </row>
    <row r="96" spans="1:10" x14ac:dyDescent="0.2">
      <c r="B96" s="217"/>
      <c r="C96" s="217"/>
      <c r="D96" s="217"/>
      <c r="E96" s="217"/>
      <c r="F96" s="217"/>
    </row>
    <row r="97" spans="2:6" x14ac:dyDescent="0.2">
      <c r="B97" s="217"/>
      <c r="C97" s="217"/>
      <c r="D97" s="217"/>
      <c r="E97" s="217"/>
      <c r="F97" s="217"/>
    </row>
    <row r="98" spans="2:6" x14ac:dyDescent="0.2">
      <c r="B98" s="217"/>
      <c r="C98" s="217"/>
      <c r="D98" s="217"/>
      <c r="E98" s="217"/>
      <c r="F98" s="217"/>
    </row>
    <row r="99" spans="2:6" x14ac:dyDescent="0.2">
      <c r="B99" s="217"/>
      <c r="C99" s="217"/>
      <c r="D99" s="217"/>
      <c r="E99" s="217"/>
      <c r="F99" s="217"/>
    </row>
    <row r="100" spans="2:6" x14ac:dyDescent="0.2">
      <c r="B100" s="217"/>
      <c r="C100" s="217"/>
      <c r="D100" s="217"/>
      <c r="E100" s="217"/>
      <c r="F100" s="217"/>
    </row>
    <row r="101" spans="2:6" x14ac:dyDescent="0.2">
      <c r="B101" s="217"/>
      <c r="C101" s="217"/>
      <c r="D101" s="217"/>
      <c r="E101" s="217"/>
      <c r="F101" s="217"/>
    </row>
    <row r="102" spans="2:6" x14ac:dyDescent="0.2">
      <c r="B102" s="217"/>
      <c r="C102" s="217"/>
      <c r="D102" s="217"/>
      <c r="E102" s="217"/>
      <c r="F102" s="217"/>
    </row>
    <row r="103" spans="2:6" x14ac:dyDescent="0.2">
      <c r="B103" s="217"/>
      <c r="C103" s="217"/>
      <c r="D103" s="217"/>
      <c r="E103" s="217"/>
      <c r="F103" s="217"/>
    </row>
    <row r="104" spans="2:6" x14ac:dyDescent="0.2">
      <c r="B104" s="217"/>
      <c r="C104" s="217"/>
      <c r="D104" s="217"/>
      <c r="E104" s="217"/>
      <c r="F104" s="217"/>
    </row>
    <row r="105" spans="2:6" x14ac:dyDescent="0.2">
      <c r="B105" s="217"/>
      <c r="C105" s="217"/>
      <c r="D105" s="217"/>
      <c r="E105" s="217"/>
      <c r="F105" s="217"/>
    </row>
    <row r="106" spans="2:6" x14ac:dyDescent="0.2">
      <c r="B106" s="217"/>
      <c r="C106" s="217"/>
      <c r="D106" s="217"/>
      <c r="E106" s="217"/>
      <c r="F106" s="217"/>
    </row>
    <row r="107" spans="2:6" x14ac:dyDescent="0.2">
      <c r="B107" s="217"/>
      <c r="C107" s="217"/>
      <c r="D107" s="217"/>
      <c r="E107" s="217"/>
      <c r="F107" s="217"/>
    </row>
    <row r="108" spans="2:6" x14ac:dyDescent="0.2">
      <c r="B108" s="217"/>
      <c r="C108" s="217"/>
      <c r="D108" s="217"/>
      <c r="E108" s="217"/>
      <c r="F108" s="217"/>
    </row>
    <row r="109" spans="2:6" x14ac:dyDescent="0.2">
      <c r="B109" s="217"/>
      <c r="C109" s="217"/>
      <c r="D109" s="217"/>
      <c r="E109" s="217"/>
      <c r="F109" s="217"/>
    </row>
    <row r="110" spans="2:6" x14ac:dyDescent="0.2">
      <c r="B110" s="217"/>
      <c r="C110" s="217"/>
      <c r="D110" s="217"/>
      <c r="E110" s="217"/>
      <c r="F110" s="217"/>
    </row>
    <row r="111" spans="2:6" x14ac:dyDescent="0.2">
      <c r="B111" s="217"/>
      <c r="C111" s="217"/>
      <c r="D111" s="217"/>
      <c r="E111" s="217"/>
      <c r="F111" s="217"/>
    </row>
    <row r="112" spans="2:6" x14ac:dyDescent="0.2">
      <c r="B112" s="217"/>
      <c r="C112" s="217"/>
      <c r="D112" s="217"/>
      <c r="E112" s="217"/>
      <c r="F112" s="217"/>
    </row>
    <row r="113" spans="2:6" x14ac:dyDescent="0.2">
      <c r="B113" s="217"/>
      <c r="C113" s="217"/>
      <c r="D113" s="217"/>
      <c r="E113" s="217"/>
      <c r="F113" s="217"/>
    </row>
    <row r="114" spans="2:6" x14ac:dyDescent="0.2">
      <c r="B114" s="217"/>
      <c r="C114" s="217"/>
      <c r="D114" s="217"/>
      <c r="E114" s="217"/>
      <c r="F114" s="217"/>
    </row>
    <row r="115" spans="2:6" x14ac:dyDescent="0.2">
      <c r="B115" s="217"/>
      <c r="C115" s="217"/>
      <c r="D115" s="217"/>
      <c r="E115" s="217"/>
      <c r="F115" s="217"/>
    </row>
    <row r="116" spans="2:6" x14ac:dyDescent="0.2">
      <c r="B116" s="217"/>
      <c r="C116" s="217"/>
      <c r="D116" s="217"/>
      <c r="E116" s="217"/>
      <c r="F116" s="217"/>
    </row>
    <row r="117" spans="2:6" x14ac:dyDescent="0.2">
      <c r="B117" s="217"/>
      <c r="C117" s="217"/>
      <c r="D117" s="217"/>
      <c r="E117" s="217"/>
      <c r="F117" s="217"/>
    </row>
    <row r="118" spans="2:6" x14ac:dyDescent="0.2">
      <c r="B118" s="217"/>
      <c r="C118" s="217"/>
      <c r="D118" s="217"/>
      <c r="E118" s="217"/>
      <c r="F118" s="217"/>
    </row>
    <row r="119" spans="2:6" x14ac:dyDescent="0.2">
      <c r="B119" s="217"/>
      <c r="C119" s="217"/>
      <c r="D119" s="217"/>
      <c r="E119" s="217"/>
      <c r="F119" s="217"/>
    </row>
    <row r="120" spans="2:6" x14ac:dyDescent="0.2">
      <c r="B120" s="217"/>
      <c r="C120" s="217"/>
      <c r="D120" s="217"/>
      <c r="E120" s="217"/>
      <c r="F120" s="217"/>
    </row>
    <row r="121" spans="2:6" x14ac:dyDescent="0.2">
      <c r="B121" s="217"/>
      <c r="C121" s="217"/>
      <c r="D121" s="217"/>
      <c r="E121" s="217"/>
      <c r="F121" s="217"/>
    </row>
    <row r="122" spans="2:6" x14ac:dyDescent="0.2">
      <c r="B122" s="217"/>
      <c r="C122" s="217"/>
      <c r="D122" s="217"/>
      <c r="E122" s="217"/>
      <c r="F122" s="217"/>
    </row>
    <row r="123" spans="2:6" x14ac:dyDescent="0.2">
      <c r="B123" s="217"/>
      <c r="C123" s="217"/>
      <c r="D123" s="217"/>
      <c r="E123" s="217"/>
      <c r="F123" s="217"/>
    </row>
    <row r="124" spans="2:6" x14ac:dyDescent="0.2">
      <c r="B124" s="217"/>
      <c r="C124" s="217"/>
      <c r="D124" s="217"/>
      <c r="E124" s="217"/>
      <c r="F124" s="217"/>
    </row>
    <row r="125" spans="2:6" x14ac:dyDescent="0.2">
      <c r="B125" s="217"/>
      <c r="C125" s="217"/>
      <c r="D125" s="217"/>
      <c r="E125" s="217"/>
      <c r="F125" s="217"/>
    </row>
    <row r="126" spans="2:6" x14ac:dyDescent="0.2">
      <c r="B126" s="217"/>
      <c r="C126" s="217"/>
      <c r="D126" s="217"/>
      <c r="E126" s="217"/>
      <c r="F126" s="217"/>
    </row>
    <row r="127" spans="2:6" x14ac:dyDescent="0.2">
      <c r="B127" s="217"/>
      <c r="C127" s="217"/>
      <c r="D127" s="217"/>
      <c r="E127" s="217"/>
      <c r="F127" s="217"/>
    </row>
    <row r="128" spans="2:6" x14ac:dyDescent="0.2">
      <c r="B128" s="217"/>
      <c r="C128" s="217"/>
      <c r="D128" s="217"/>
      <c r="E128" s="217"/>
      <c r="F128" s="217"/>
    </row>
    <row r="129" spans="2:6" x14ac:dyDescent="0.2">
      <c r="B129" s="217"/>
      <c r="C129" s="217"/>
      <c r="D129" s="217"/>
      <c r="E129" s="217"/>
      <c r="F129" s="217"/>
    </row>
    <row r="130" spans="2:6" x14ac:dyDescent="0.2">
      <c r="B130" s="217"/>
      <c r="C130" s="217"/>
      <c r="D130" s="217"/>
      <c r="E130" s="217"/>
      <c r="F130" s="217"/>
    </row>
    <row r="131" spans="2:6" x14ac:dyDescent="0.2">
      <c r="B131" s="217"/>
      <c r="C131" s="217"/>
      <c r="D131" s="217"/>
      <c r="E131" s="217"/>
      <c r="F131" s="217"/>
    </row>
    <row r="132" spans="2:6" x14ac:dyDescent="0.2">
      <c r="B132" s="217"/>
      <c r="C132" s="217"/>
      <c r="D132" s="217"/>
      <c r="E132" s="217"/>
      <c r="F132" s="217"/>
    </row>
    <row r="133" spans="2:6" x14ac:dyDescent="0.2">
      <c r="B133" s="217"/>
      <c r="C133" s="217"/>
      <c r="D133" s="217"/>
      <c r="E133" s="217"/>
      <c r="F133" s="217"/>
    </row>
    <row r="134" spans="2:6" x14ac:dyDescent="0.2">
      <c r="B134" s="217"/>
      <c r="C134" s="217"/>
      <c r="D134" s="217"/>
      <c r="E134" s="217"/>
      <c r="F134" s="217"/>
    </row>
    <row r="135" spans="2:6" x14ac:dyDescent="0.2">
      <c r="B135" s="217"/>
      <c r="C135" s="217"/>
      <c r="D135" s="217"/>
      <c r="E135" s="217"/>
      <c r="F135" s="217"/>
    </row>
    <row r="136" spans="2:6" x14ac:dyDescent="0.2">
      <c r="B136" s="217"/>
      <c r="C136" s="217"/>
      <c r="D136" s="217"/>
      <c r="E136" s="217"/>
      <c r="F136" s="217"/>
    </row>
    <row r="137" spans="2:6" x14ac:dyDescent="0.2">
      <c r="B137" s="217"/>
      <c r="C137" s="217"/>
      <c r="D137" s="217"/>
      <c r="E137" s="217"/>
      <c r="F137" s="217"/>
    </row>
    <row r="138" spans="2:6" x14ac:dyDescent="0.2">
      <c r="B138" s="217"/>
      <c r="C138" s="217"/>
      <c r="D138" s="217"/>
      <c r="E138" s="217"/>
      <c r="F138" s="217"/>
    </row>
    <row r="139" spans="2:6" x14ac:dyDescent="0.2">
      <c r="B139" s="217"/>
      <c r="C139" s="217"/>
      <c r="D139" s="217"/>
      <c r="E139" s="217"/>
      <c r="F139" s="217"/>
    </row>
    <row r="140" spans="2:6" x14ac:dyDescent="0.2">
      <c r="B140" s="217"/>
      <c r="C140" s="217"/>
      <c r="D140" s="217"/>
      <c r="E140" s="217"/>
      <c r="F140" s="217"/>
    </row>
    <row r="141" spans="2:6" x14ac:dyDescent="0.2">
      <c r="B141" s="217"/>
      <c r="C141" s="217"/>
      <c r="D141" s="217"/>
      <c r="E141" s="217"/>
      <c r="F141" s="217"/>
    </row>
    <row r="142" spans="2:6" x14ac:dyDescent="0.2">
      <c r="B142" s="217"/>
      <c r="C142" s="217"/>
      <c r="D142" s="217"/>
      <c r="E142" s="217"/>
      <c r="F142" s="217"/>
    </row>
    <row r="143" spans="2:6" x14ac:dyDescent="0.2">
      <c r="B143" s="217"/>
      <c r="C143" s="217"/>
      <c r="D143" s="217"/>
      <c r="E143" s="217"/>
      <c r="F143" s="217"/>
    </row>
    <row r="144" spans="2:6" x14ac:dyDescent="0.2">
      <c r="B144" s="217"/>
      <c r="C144" s="217"/>
      <c r="D144" s="217"/>
      <c r="E144" s="217"/>
      <c r="F144" s="217"/>
    </row>
    <row r="145" spans="2:6" x14ac:dyDescent="0.2">
      <c r="B145" s="217"/>
      <c r="C145" s="217"/>
      <c r="D145" s="217"/>
      <c r="E145" s="217"/>
      <c r="F145" s="217"/>
    </row>
    <row r="146" spans="2:6" x14ac:dyDescent="0.2">
      <c r="B146" s="217"/>
      <c r="C146" s="217"/>
      <c r="D146" s="217"/>
      <c r="E146" s="217"/>
      <c r="F146" s="217"/>
    </row>
    <row r="147" spans="2:6" x14ac:dyDescent="0.2">
      <c r="B147" s="217"/>
      <c r="C147" s="217"/>
      <c r="D147" s="217"/>
      <c r="E147" s="217"/>
      <c r="F147" s="217"/>
    </row>
    <row r="148" spans="2:6" x14ac:dyDescent="0.2">
      <c r="B148" s="217"/>
      <c r="C148" s="217"/>
      <c r="D148" s="217"/>
      <c r="E148" s="217"/>
      <c r="F148" s="217"/>
    </row>
    <row r="149" spans="2:6" x14ac:dyDescent="0.2">
      <c r="B149" s="217"/>
      <c r="C149" s="217"/>
      <c r="D149" s="217"/>
      <c r="E149" s="217"/>
      <c r="F149" s="217"/>
    </row>
    <row r="150" spans="2:6" x14ac:dyDescent="0.2">
      <c r="B150" s="217"/>
      <c r="C150" s="217"/>
      <c r="D150" s="217"/>
      <c r="E150" s="217"/>
      <c r="F150" s="217"/>
    </row>
    <row r="151" spans="2:6" x14ac:dyDescent="0.2">
      <c r="B151" s="217"/>
      <c r="C151" s="217"/>
      <c r="D151" s="217"/>
      <c r="E151" s="217"/>
      <c r="F151" s="217"/>
    </row>
    <row r="152" spans="2:6" x14ac:dyDescent="0.2">
      <c r="B152" s="217"/>
      <c r="C152" s="217"/>
      <c r="D152" s="217"/>
      <c r="E152" s="217"/>
      <c r="F152" s="217"/>
    </row>
    <row r="153" spans="2:6" x14ac:dyDescent="0.2">
      <c r="B153" s="217"/>
      <c r="C153" s="217"/>
      <c r="D153" s="217"/>
      <c r="E153" s="217"/>
      <c r="F153" s="217"/>
    </row>
    <row r="154" spans="2:6" x14ac:dyDescent="0.2">
      <c r="B154" s="217"/>
      <c r="C154" s="217"/>
      <c r="D154" s="217"/>
      <c r="E154" s="217"/>
      <c r="F154" s="217"/>
    </row>
    <row r="155" spans="2:6" x14ac:dyDescent="0.2">
      <c r="B155" s="217"/>
      <c r="C155" s="217"/>
      <c r="D155" s="217"/>
      <c r="E155" s="217"/>
      <c r="F155" s="217"/>
    </row>
    <row r="156" spans="2:6" x14ac:dyDescent="0.2">
      <c r="B156" s="217"/>
      <c r="C156" s="217"/>
      <c r="D156" s="217"/>
      <c r="E156" s="217"/>
      <c r="F156" s="217"/>
    </row>
    <row r="157" spans="2:6" x14ac:dyDescent="0.2">
      <c r="B157" s="217"/>
      <c r="C157" s="217"/>
      <c r="D157" s="217"/>
      <c r="E157" s="217"/>
      <c r="F157" s="217"/>
    </row>
    <row r="158" spans="2:6" x14ac:dyDescent="0.2">
      <c r="B158" s="217"/>
      <c r="C158" s="217"/>
      <c r="D158" s="217"/>
      <c r="E158" s="217"/>
      <c r="F158" s="217"/>
    </row>
    <row r="159" spans="2:6" x14ac:dyDescent="0.2">
      <c r="B159" s="217"/>
      <c r="C159" s="217"/>
      <c r="D159" s="217"/>
      <c r="E159" s="217"/>
      <c r="F159" s="217"/>
    </row>
    <row r="160" spans="2:6" x14ac:dyDescent="0.2">
      <c r="B160" s="217"/>
      <c r="C160" s="217"/>
      <c r="D160" s="217"/>
      <c r="E160" s="217"/>
      <c r="F160" s="217"/>
    </row>
    <row r="161" spans="2:6" x14ac:dyDescent="0.2">
      <c r="B161" s="217"/>
      <c r="C161" s="217"/>
      <c r="D161" s="217"/>
      <c r="E161" s="217"/>
      <c r="F161" s="217"/>
    </row>
    <row r="162" spans="2:6" x14ac:dyDescent="0.2">
      <c r="B162" s="217"/>
      <c r="C162" s="217"/>
      <c r="D162" s="217"/>
      <c r="E162" s="217"/>
      <c r="F162" s="217"/>
    </row>
    <row r="163" spans="2:6" x14ac:dyDescent="0.2">
      <c r="B163" s="217"/>
      <c r="C163" s="217"/>
      <c r="D163" s="217"/>
      <c r="E163" s="217"/>
      <c r="F163" s="217"/>
    </row>
    <row r="164" spans="2:6" x14ac:dyDescent="0.2">
      <c r="B164" s="217"/>
      <c r="C164" s="217"/>
      <c r="D164" s="217"/>
      <c r="E164" s="217"/>
      <c r="F164" s="217"/>
    </row>
    <row r="165" spans="2:6" x14ac:dyDescent="0.2">
      <c r="B165" s="217"/>
      <c r="C165" s="217"/>
      <c r="D165" s="217"/>
      <c r="E165" s="217"/>
      <c r="F165" s="217"/>
    </row>
    <row r="166" spans="2:6" x14ac:dyDescent="0.2">
      <c r="B166" s="217"/>
      <c r="C166" s="217"/>
      <c r="D166" s="217"/>
      <c r="E166" s="217"/>
      <c r="F166" s="217"/>
    </row>
    <row r="167" spans="2:6" x14ac:dyDescent="0.2">
      <c r="B167" s="217"/>
      <c r="C167" s="217"/>
      <c r="D167" s="217"/>
      <c r="E167" s="217"/>
      <c r="F167" s="217"/>
    </row>
    <row r="168" spans="2:6" x14ac:dyDescent="0.2">
      <c r="B168" s="217"/>
      <c r="C168" s="217"/>
      <c r="D168" s="217"/>
      <c r="E168" s="217"/>
      <c r="F168" s="217"/>
    </row>
    <row r="169" spans="2:6" x14ac:dyDescent="0.2">
      <c r="B169" s="217"/>
      <c r="C169" s="217"/>
      <c r="D169" s="217"/>
      <c r="E169" s="217"/>
      <c r="F169" s="217"/>
    </row>
    <row r="170" spans="2:6" x14ac:dyDescent="0.2">
      <c r="B170" s="217"/>
      <c r="C170" s="217"/>
      <c r="D170" s="217"/>
      <c r="E170" s="217"/>
      <c r="F170" s="217"/>
    </row>
    <row r="171" spans="2:6" x14ac:dyDescent="0.2">
      <c r="B171" s="217"/>
      <c r="C171" s="217"/>
      <c r="D171" s="217"/>
      <c r="E171" s="217"/>
      <c r="F171" s="217"/>
    </row>
    <row r="172" spans="2:6" x14ac:dyDescent="0.2">
      <c r="B172" s="217"/>
      <c r="C172" s="217"/>
      <c r="D172" s="217"/>
      <c r="E172" s="217"/>
      <c r="F172" s="217"/>
    </row>
    <row r="173" spans="2:6" x14ac:dyDescent="0.2">
      <c r="B173" s="217"/>
      <c r="C173" s="217"/>
      <c r="D173" s="217"/>
      <c r="E173" s="217"/>
      <c r="F173" s="217"/>
    </row>
    <row r="174" spans="2:6" x14ac:dyDescent="0.2">
      <c r="B174" s="217"/>
      <c r="C174" s="217"/>
      <c r="D174" s="217"/>
      <c r="E174" s="217"/>
      <c r="F174" s="217"/>
    </row>
    <row r="175" spans="2:6" x14ac:dyDescent="0.2">
      <c r="B175" s="217"/>
      <c r="C175" s="217"/>
      <c r="D175" s="217"/>
      <c r="E175" s="217"/>
      <c r="F175" s="217"/>
    </row>
    <row r="176" spans="2:6" x14ac:dyDescent="0.2">
      <c r="B176" s="217"/>
      <c r="C176" s="217"/>
      <c r="D176" s="217"/>
      <c r="E176" s="217"/>
      <c r="F176" s="217"/>
    </row>
    <row r="177" spans="2:6" x14ac:dyDescent="0.2">
      <c r="B177" s="217"/>
      <c r="C177" s="217"/>
      <c r="D177" s="217"/>
      <c r="E177" s="217"/>
      <c r="F177" s="217"/>
    </row>
    <row r="178" spans="2:6" x14ac:dyDescent="0.2">
      <c r="B178" s="217"/>
      <c r="C178" s="217"/>
      <c r="D178" s="217"/>
      <c r="E178" s="217"/>
      <c r="F178" s="217"/>
    </row>
    <row r="179" spans="2:6" x14ac:dyDescent="0.2">
      <c r="B179" s="217"/>
      <c r="C179" s="217"/>
      <c r="D179" s="217"/>
      <c r="E179" s="217"/>
      <c r="F179" s="217"/>
    </row>
    <row r="180" spans="2:6" x14ac:dyDescent="0.2">
      <c r="B180" s="217"/>
      <c r="C180" s="217"/>
      <c r="D180" s="217"/>
      <c r="E180" s="217"/>
      <c r="F180" s="217"/>
    </row>
    <row r="181" spans="2:6" x14ac:dyDescent="0.2">
      <c r="B181" s="217"/>
      <c r="C181" s="217"/>
      <c r="D181" s="217"/>
      <c r="E181" s="217"/>
      <c r="F181" s="217"/>
    </row>
    <row r="182" spans="2:6" x14ac:dyDescent="0.2">
      <c r="B182" s="217"/>
      <c r="C182" s="217"/>
      <c r="D182" s="217"/>
      <c r="E182" s="217"/>
      <c r="F182" s="217"/>
    </row>
    <row r="183" spans="2:6" x14ac:dyDescent="0.2">
      <c r="B183" s="217"/>
      <c r="C183" s="217"/>
      <c r="D183" s="217"/>
      <c r="E183" s="217"/>
      <c r="F183" s="217"/>
    </row>
    <row r="184" spans="2:6" x14ac:dyDescent="0.2">
      <c r="B184" s="217"/>
      <c r="C184" s="217"/>
      <c r="D184" s="217"/>
      <c r="E184" s="217"/>
      <c r="F184" s="217"/>
    </row>
    <row r="185" spans="2:6" x14ac:dyDescent="0.2">
      <c r="B185" s="217"/>
      <c r="C185" s="217"/>
      <c r="D185" s="217"/>
      <c r="E185" s="217"/>
      <c r="F185" s="217"/>
    </row>
    <row r="186" spans="2:6" x14ac:dyDescent="0.2">
      <c r="B186" s="217"/>
      <c r="C186" s="217"/>
      <c r="D186" s="217"/>
      <c r="E186" s="217"/>
      <c r="F186" s="217"/>
    </row>
    <row r="187" spans="2:6" x14ac:dyDescent="0.2">
      <c r="B187" s="217"/>
      <c r="C187" s="217"/>
      <c r="D187" s="217"/>
      <c r="E187" s="217"/>
      <c r="F187" s="217"/>
    </row>
    <row r="188" spans="2:6" x14ac:dyDescent="0.2">
      <c r="B188" s="217"/>
      <c r="C188" s="217"/>
      <c r="D188" s="217"/>
      <c r="E188" s="217"/>
      <c r="F188" s="217"/>
    </row>
    <row r="189" spans="2:6" x14ac:dyDescent="0.2">
      <c r="B189" s="217"/>
      <c r="C189" s="217"/>
      <c r="D189" s="217"/>
      <c r="E189" s="217"/>
      <c r="F189" s="217"/>
    </row>
    <row r="190" spans="2:6" x14ac:dyDescent="0.2">
      <c r="B190" s="217"/>
      <c r="C190" s="217"/>
      <c r="D190" s="217"/>
      <c r="E190" s="217"/>
      <c r="F190" s="217"/>
    </row>
    <row r="191" spans="2:6" x14ac:dyDescent="0.2">
      <c r="B191" s="217"/>
      <c r="C191" s="217"/>
      <c r="D191" s="217"/>
      <c r="E191" s="217"/>
      <c r="F191" s="217"/>
    </row>
    <row r="192" spans="2:6" x14ac:dyDescent="0.2">
      <c r="B192" s="217"/>
      <c r="C192" s="217"/>
      <c r="D192" s="217"/>
      <c r="E192" s="217"/>
      <c r="F192" s="217"/>
    </row>
    <row r="193" spans="2:6" x14ac:dyDescent="0.2">
      <c r="B193" s="217"/>
      <c r="C193" s="217"/>
      <c r="D193" s="217"/>
      <c r="E193" s="217"/>
      <c r="F193" s="217"/>
    </row>
    <row r="194" spans="2:6" x14ac:dyDescent="0.2">
      <c r="B194" s="217"/>
      <c r="C194" s="217"/>
      <c r="D194" s="217"/>
      <c r="E194" s="217"/>
      <c r="F194" s="217"/>
    </row>
    <row r="195" spans="2:6" x14ac:dyDescent="0.2">
      <c r="B195" s="217"/>
      <c r="C195" s="217"/>
      <c r="D195" s="217"/>
      <c r="E195" s="217"/>
      <c r="F195" s="217"/>
    </row>
    <row r="196" spans="2:6" x14ac:dyDescent="0.2">
      <c r="B196" s="217"/>
      <c r="C196" s="217"/>
      <c r="D196" s="217"/>
      <c r="E196" s="217"/>
      <c r="F196" s="217"/>
    </row>
    <row r="197" spans="2:6" x14ac:dyDescent="0.2">
      <c r="B197" s="217"/>
      <c r="C197" s="217"/>
      <c r="D197" s="217"/>
      <c r="E197" s="217"/>
      <c r="F197" s="217"/>
    </row>
    <row r="198" spans="2:6" x14ac:dyDescent="0.2">
      <c r="B198" s="217"/>
      <c r="C198" s="217"/>
      <c r="D198" s="217"/>
      <c r="E198" s="217"/>
      <c r="F198" s="217"/>
    </row>
    <row r="199" spans="2:6" x14ac:dyDescent="0.2">
      <c r="B199" s="217"/>
      <c r="C199" s="217"/>
      <c r="D199" s="217"/>
      <c r="E199" s="217"/>
      <c r="F199" s="217"/>
    </row>
    <row r="200" spans="2:6" x14ac:dyDescent="0.2">
      <c r="B200" s="217"/>
      <c r="C200" s="217"/>
      <c r="D200" s="217"/>
      <c r="E200" s="217"/>
      <c r="F200" s="217"/>
    </row>
    <row r="201" spans="2:6" x14ac:dyDescent="0.2">
      <c r="B201" s="217"/>
      <c r="C201" s="217"/>
      <c r="D201" s="217"/>
      <c r="E201" s="217"/>
      <c r="F201" s="217"/>
    </row>
    <row r="202" spans="2:6" x14ac:dyDescent="0.2">
      <c r="B202" s="217"/>
      <c r="C202" s="217"/>
      <c r="D202" s="217"/>
      <c r="E202" s="217"/>
      <c r="F202" s="217"/>
    </row>
    <row r="203" spans="2:6" x14ac:dyDescent="0.2">
      <c r="B203" s="217"/>
      <c r="C203" s="217"/>
      <c r="D203" s="217"/>
      <c r="E203" s="217"/>
      <c r="F203" s="217"/>
    </row>
    <row r="204" spans="2:6" x14ac:dyDescent="0.2">
      <c r="B204" s="217"/>
      <c r="C204" s="217"/>
      <c r="D204" s="217"/>
      <c r="E204" s="217"/>
      <c r="F204" s="217"/>
    </row>
    <row r="205" spans="2:6" x14ac:dyDescent="0.2">
      <c r="B205" s="217"/>
      <c r="C205" s="217"/>
      <c r="D205" s="217"/>
      <c r="E205" s="217"/>
      <c r="F205" s="217"/>
    </row>
    <row r="206" spans="2:6" x14ac:dyDescent="0.2">
      <c r="B206" s="217"/>
      <c r="C206" s="217"/>
      <c r="D206" s="217"/>
      <c r="E206" s="217"/>
      <c r="F206" s="217"/>
    </row>
    <row r="207" spans="2:6" x14ac:dyDescent="0.2">
      <c r="B207" s="217"/>
      <c r="C207" s="217"/>
      <c r="D207" s="217"/>
      <c r="E207" s="217"/>
      <c r="F207" s="217"/>
    </row>
    <row r="208" spans="2:6" x14ac:dyDescent="0.2">
      <c r="B208" s="217"/>
      <c r="C208" s="217"/>
      <c r="D208" s="217"/>
      <c r="E208" s="217"/>
      <c r="F208" s="217"/>
    </row>
    <row r="209" spans="2:6" x14ac:dyDescent="0.2">
      <c r="B209" s="217"/>
      <c r="C209" s="217"/>
      <c r="D209" s="217"/>
      <c r="E209" s="217"/>
      <c r="F209" s="217"/>
    </row>
    <row r="210" spans="2:6" x14ac:dyDescent="0.2">
      <c r="B210" s="217"/>
      <c r="C210" s="217"/>
      <c r="D210" s="217"/>
      <c r="E210" s="217"/>
      <c r="F210" s="217"/>
    </row>
    <row r="211" spans="2:6" x14ac:dyDescent="0.2">
      <c r="B211" s="217"/>
      <c r="C211" s="217"/>
      <c r="D211" s="217"/>
      <c r="E211" s="217"/>
      <c r="F211" s="217"/>
    </row>
    <row r="212" spans="2:6" x14ac:dyDescent="0.2">
      <c r="B212" s="217"/>
      <c r="C212" s="217"/>
      <c r="D212" s="217"/>
      <c r="E212" s="217"/>
      <c r="F212" s="217"/>
    </row>
    <row r="213" spans="2:6" x14ac:dyDescent="0.2">
      <c r="B213" s="217"/>
      <c r="C213" s="217"/>
      <c r="D213" s="217"/>
      <c r="E213" s="217"/>
      <c r="F213" s="217"/>
    </row>
    <row r="214" spans="2:6" x14ac:dyDescent="0.2">
      <c r="B214" s="217"/>
      <c r="C214" s="217"/>
      <c r="D214" s="217"/>
      <c r="E214" s="217"/>
      <c r="F214" s="217"/>
    </row>
    <row r="215" spans="2:6" x14ac:dyDescent="0.2">
      <c r="B215" s="217"/>
      <c r="C215" s="217"/>
      <c r="D215" s="217"/>
      <c r="E215" s="217"/>
      <c r="F215" s="217"/>
    </row>
    <row r="216" spans="2:6" x14ac:dyDescent="0.2">
      <c r="B216" s="217"/>
      <c r="C216" s="217"/>
      <c r="D216" s="217"/>
      <c r="E216" s="217"/>
      <c r="F216" s="217"/>
    </row>
    <row r="217" spans="2:6" x14ac:dyDescent="0.2">
      <c r="B217" s="217"/>
      <c r="C217" s="217"/>
      <c r="D217" s="217"/>
      <c r="E217" s="217"/>
      <c r="F217" s="217"/>
    </row>
    <row r="218" spans="2:6" x14ac:dyDescent="0.2">
      <c r="B218" s="217"/>
      <c r="C218" s="217"/>
      <c r="D218" s="217"/>
      <c r="E218" s="217"/>
      <c r="F218" s="217"/>
    </row>
    <row r="219" spans="2:6" x14ac:dyDescent="0.2">
      <c r="B219" s="217"/>
      <c r="C219" s="217"/>
      <c r="D219" s="217"/>
      <c r="E219" s="217"/>
      <c r="F219" s="217"/>
    </row>
    <row r="220" spans="2:6" x14ac:dyDescent="0.2">
      <c r="B220" s="217"/>
      <c r="C220" s="217"/>
      <c r="D220" s="217"/>
      <c r="E220" s="217"/>
      <c r="F220" s="217"/>
    </row>
    <row r="221" spans="2:6" x14ac:dyDescent="0.2">
      <c r="B221" s="217"/>
      <c r="C221" s="217"/>
      <c r="D221" s="217"/>
      <c r="E221" s="217"/>
      <c r="F221" s="217"/>
    </row>
    <row r="222" spans="2:6" x14ac:dyDescent="0.2">
      <c r="B222" s="217"/>
      <c r="C222" s="217"/>
      <c r="D222" s="217"/>
      <c r="E222" s="217"/>
      <c r="F222" s="217"/>
    </row>
    <row r="223" spans="2:6" x14ac:dyDescent="0.2">
      <c r="B223" s="217"/>
      <c r="C223" s="217"/>
      <c r="D223" s="217"/>
      <c r="E223" s="217"/>
      <c r="F223" s="217"/>
    </row>
    <row r="224" spans="2:6" x14ac:dyDescent="0.2">
      <c r="B224" s="217"/>
      <c r="C224" s="217"/>
      <c r="D224" s="217"/>
      <c r="E224" s="217"/>
      <c r="F224" s="217"/>
    </row>
    <row r="225" spans="2:6" x14ac:dyDescent="0.2">
      <c r="B225" s="217"/>
      <c r="C225" s="217"/>
      <c r="D225" s="217"/>
      <c r="E225" s="217"/>
      <c r="F225" s="217"/>
    </row>
    <row r="226" spans="2:6" x14ac:dyDescent="0.2">
      <c r="B226" s="217"/>
      <c r="C226" s="217"/>
      <c r="D226" s="217"/>
      <c r="E226" s="217"/>
      <c r="F226" s="217"/>
    </row>
    <row r="227" spans="2:6" x14ac:dyDescent="0.2">
      <c r="B227" s="217"/>
      <c r="C227" s="217"/>
      <c r="D227" s="217"/>
      <c r="E227" s="217"/>
      <c r="F227" s="217"/>
    </row>
    <row r="228" spans="2:6" x14ac:dyDescent="0.2">
      <c r="B228" s="217"/>
      <c r="C228" s="217"/>
      <c r="D228" s="217"/>
      <c r="E228" s="217"/>
      <c r="F228" s="217"/>
    </row>
    <row r="229" spans="2:6" x14ac:dyDescent="0.2">
      <c r="B229" s="217"/>
      <c r="C229" s="217"/>
      <c r="D229" s="217"/>
      <c r="E229" s="217"/>
      <c r="F229" s="217"/>
    </row>
    <row r="230" spans="2:6" x14ac:dyDescent="0.2">
      <c r="B230" s="217"/>
      <c r="C230" s="217"/>
      <c r="D230" s="217"/>
      <c r="E230" s="217"/>
      <c r="F230" s="217"/>
    </row>
    <row r="231" spans="2:6" x14ac:dyDescent="0.2">
      <c r="B231" s="217"/>
      <c r="C231" s="217"/>
      <c r="D231" s="217"/>
      <c r="E231" s="217"/>
      <c r="F231" s="217"/>
    </row>
    <row r="232" spans="2:6" x14ac:dyDescent="0.2">
      <c r="B232" s="217"/>
      <c r="C232" s="217"/>
      <c r="D232" s="217"/>
      <c r="E232" s="217"/>
      <c r="F232" s="217"/>
    </row>
    <row r="233" spans="2:6" x14ac:dyDescent="0.2">
      <c r="B233" s="217"/>
      <c r="C233" s="217"/>
      <c r="D233" s="217"/>
      <c r="E233" s="217"/>
      <c r="F233" s="217"/>
    </row>
    <row r="234" spans="2:6" x14ac:dyDescent="0.2">
      <c r="B234" s="217"/>
      <c r="C234" s="217"/>
      <c r="D234" s="217"/>
      <c r="E234" s="217"/>
      <c r="F234" s="217"/>
    </row>
    <row r="235" spans="2:6" x14ac:dyDescent="0.2">
      <c r="B235" s="217"/>
      <c r="C235" s="217"/>
      <c r="D235" s="217"/>
      <c r="E235" s="217"/>
      <c r="F235" s="217"/>
    </row>
    <row r="236" spans="2:6" x14ac:dyDescent="0.2">
      <c r="B236" s="217"/>
      <c r="C236" s="217"/>
      <c r="D236" s="217"/>
      <c r="E236" s="217"/>
      <c r="F236" s="217"/>
    </row>
    <row r="237" spans="2:6" x14ac:dyDescent="0.2">
      <c r="B237" s="217"/>
      <c r="C237" s="217"/>
      <c r="D237" s="217"/>
      <c r="E237" s="217"/>
      <c r="F237" s="217"/>
    </row>
    <row r="238" spans="2:6" x14ac:dyDescent="0.2">
      <c r="B238" s="217"/>
      <c r="C238" s="217"/>
      <c r="D238" s="217"/>
      <c r="E238" s="217"/>
      <c r="F238" s="217"/>
    </row>
    <row r="239" spans="2:6" x14ac:dyDescent="0.2">
      <c r="B239" s="217"/>
      <c r="C239" s="217"/>
      <c r="D239" s="217"/>
      <c r="E239" s="217"/>
      <c r="F239" s="217"/>
    </row>
    <row r="240" spans="2:6" x14ac:dyDescent="0.2">
      <c r="B240" s="217"/>
      <c r="C240" s="217"/>
      <c r="D240" s="217"/>
      <c r="E240" s="217"/>
      <c r="F240" s="217"/>
    </row>
    <row r="241" spans="2:6" x14ac:dyDescent="0.2">
      <c r="B241" s="217"/>
      <c r="C241" s="217"/>
      <c r="D241" s="217"/>
      <c r="E241" s="217"/>
      <c r="F241" s="217"/>
    </row>
    <row r="242" spans="2:6" x14ac:dyDescent="0.2">
      <c r="B242" s="217"/>
      <c r="C242" s="217"/>
      <c r="D242" s="217"/>
      <c r="E242" s="217"/>
      <c r="F242" s="217"/>
    </row>
    <row r="243" spans="2:6" x14ac:dyDescent="0.2">
      <c r="B243" s="217"/>
      <c r="C243" s="217"/>
      <c r="D243" s="217"/>
      <c r="E243" s="217"/>
      <c r="F243" s="217"/>
    </row>
    <row r="244" spans="2:6" x14ac:dyDescent="0.2">
      <c r="B244" s="217"/>
      <c r="C244" s="217"/>
      <c r="D244" s="217"/>
      <c r="E244" s="217"/>
      <c r="F244" s="217"/>
    </row>
    <row r="245" spans="2:6" x14ac:dyDescent="0.2">
      <c r="B245" s="217"/>
      <c r="C245" s="217"/>
      <c r="D245" s="217"/>
      <c r="E245" s="217"/>
      <c r="F245" s="217"/>
    </row>
    <row r="246" spans="2:6" x14ac:dyDescent="0.2">
      <c r="B246" s="217"/>
      <c r="C246" s="217"/>
      <c r="D246" s="217"/>
      <c r="E246" s="217"/>
      <c r="F246" s="217"/>
    </row>
    <row r="247" spans="2:6" x14ac:dyDescent="0.2">
      <c r="B247" s="217"/>
      <c r="C247" s="217"/>
      <c r="D247" s="217"/>
      <c r="E247" s="217"/>
      <c r="F247" s="217"/>
    </row>
    <row r="248" spans="2:6" x14ac:dyDescent="0.2">
      <c r="B248" s="217"/>
      <c r="C248" s="217"/>
      <c r="D248" s="217"/>
      <c r="E248" s="217"/>
      <c r="F248" s="217"/>
    </row>
    <row r="249" spans="2:6" x14ac:dyDescent="0.2">
      <c r="B249" s="217"/>
      <c r="C249" s="217"/>
      <c r="D249" s="217"/>
      <c r="E249" s="217"/>
      <c r="F249" s="217"/>
    </row>
    <row r="250" spans="2:6" x14ac:dyDescent="0.2">
      <c r="B250" s="217"/>
      <c r="C250" s="217"/>
      <c r="D250" s="217"/>
      <c r="E250" s="217"/>
      <c r="F250" s="217"/>
    </row>
    <row r="251" spans="2:6" x14ac:dyDescent="0.2">
      <c r="B251" s="217"/>
      <c r="C251" s="217"/>
      <c r="D251" s="217"/>
      <c r="E251" s="217"/>
      <c r="F251" s="217"/>
    </row>
    <row r="252" spans="2:6" x14ac:dyDescent="0.2">
      <c r="B252" s="217"/>
      <c r="C252" s="217"/>
      <c r="D252" s="217"/>
      <c r="E252" s="217"/>
      <c r="F252" s="217"/>
    </row>
    <row r="253" spans="2:6" x14ac:dyDescent="0.2">
      <c r="B253" s="217"/>
      <c r="C253" s="217"/>
      <c r="D253" s="217"/>
      <c r="E253" s="217"/>
      <c r="F253" s="217"/>
    </row>
    <row r="254" spans="2:6" x14ac:dyDescent="0.2">
      <c r="B254" s="217"/>
      <c r="C254" s="217"/>
      <c r="D254" s="217"/>
      <c r="E254" s="217"/>
      <c r="F254" s="217"/>
    </row>
    <row r="255" spans="2:6" x14ac:dyDescent="0.2">
      <c r="B255" s="217"/>
      <c r="C255" s="217"/>
      <c r="D255" s="217"/>
      <c r="E255" s="217"/>
      <c r="F255" s="217"/>
    </row>
    <row r="256" spans="2:6" x14ac:dyDescent="0.2">
      <c r="B256" s="217"/>
      <c r="C256" s="217"/>
      <c r="D256" s="217"/>
      <c r="E256" s="217"/>
      <c r="F256" s="217"/>
    </row>
    <row r="257" spans="2:6" x14ac:dyDescent="0.2">
      <c r="B257" s="217"/>
      <c r="C257" s="217"/>
      <c r="D257" s="217"/>
      <c r="E257" s="217"/>
      <c r="F257" s="217"/>
    </row>
    <row r="258" spans="2:6" x14ac:dyDescent="0.2">
      <c r="B258" s="217"/>
      <c r="C258" s="217"/>
      <c r="D258" s="217"/>
      <c r="E258" s="217"/>
      <c r="F258" s="217"/>
    </row>
    <row r="259" spans="2:6" x14ac:dyDescent="0.2">
      <c r="B259" s="217"/>
      <c r="C259" s="217"/>
      <c r="D259" s="217"/>
      <c r="E259" s="217"/>
      <c r="F259" s="217"/>
    </row>
    <row r="260" spans="2:6" x14ac:dyDescent="0.2">
      <c r="B260" s="217"/>
      <c r="C260" s="217"/>
      <c r="D260" s="217"/>
      <c r="E260" s="217"/>
      <c r="F260" s="217"/>
    </row>
    <row r="261" spans="2:6" x14ac:dyDescent="0.2">
      <c r="B261" s="217"/>
      <c r="C261" s="217"/>
      <c r="D261" s="217"/>
      <c r="E261" s="217"/>
      <c r="F261" s="217"/>
    </row>
    <row r="262" spans="2:6" x14ac:dyDescent="0.2">
      <c r="B262" s="217"/>
      <c r="C262" s="217"/>
      <c r="D262" s="217"/>
      <c r="E262" s="217"/>
      <c r="F262" s="217"/>
    </row>
    <row r="263" spans="2:6" x14ac:dyDescent="0.2">
      <c r="B263" s="217"/>
      <c r="C263" s="217"/>
      <c r="D263" s="217"/>
      <c r="E263" s="217"/>
      <c r="F263" s="217"/>
    </row>
    <row r="264" spans="2:6" x14ac:dyDescent="0.2">
      <c r="B264" s="217"/>
      <c r="C264" s="217"/>
      <c r="D264" s="217"/>
      <c r="E264" s="217"/>
      <c r="F264" s="217"/>
    </row>
    <row r="265" spans="2:6" x14ac:dyDescent="0.2">
      <c r="B265" s="217"/>
      <c r="C265" s="217"/>
      <c r="D265" s="217"/>
      <c r="E265" s="217"/>
      <c r="F265" s="217"/>
    </row>
    <row r="266" spans="2:6" x14ac:dyDescent="0.2">
      <c r="B266" s="217"/>
      <c r="C266" s="217"/>
      <c r="D266" s="217"/>
      <c r="E266" s="217"/>
      <c r="F266" s="217"/>
    </row>
    <row r="267" spans="2:6" x14ac:dyDescent="0.2">
      <c r="B267" s="217"/>
      <c r="C267" s="217"/>
      <c r="D267" s="217"/>
      <c r="E267" s="217"/>
      <c r="F267" s="217"/>
    </row>
    <row r="268" spans="2:6" x14ac:dyDescent="0.2">
      <c r="B268" s="217"/>
      <c r="C268" s="217"/>
      <c r="D268" s="217"/>
      <c r="E268" s="217"/>
      <c r="F268" s="217"/>
    </row>
    <row r="269" spans="2:6" x14ac:dyDescent="0.2">
      <c r="B269" s="217"/>
      <c r="C269" s="217"/>
      <c r="D269" s="217"/>
      <c r="E269" s="217"/>
      <c r="F269" s="217"/>
    </row>
    <row r="270" spans="2:6" x14ac:dyDescent="0.2">
      <c r="B270" s="217"/>
      <c r="C270" s="217"/>
      <c r="D270" s="217"/>
      <c r="E270" s="217"/>
      <c r="F270" s="217"/>
    </row>
    <row r="271" spans="2:6" x14ac:dyDescent="0.2">
      <c r="B271" s="217"/>
      <c r="C271" s="217"/>
      <c r="D271" s="217"/>
      <c r="E271" s="217"/>
      <c r="F271" s="217"/>
    </row>
    <row r="272" spans="2:6" x14ac:dyDescent="0.2">
      <c r="B272" s="217"/>
      <c r="C272" s="217"/>
      <c r="D272" s="217"/>
      <c r="E272" s="217"/>
      <c r="F272" s="217"/>
    </row>
    <row r="273" spans="2:6" x14ac:dyDescent="0.2">
      <c r="B273" s="217"/>
      <c r="C273" s="217"/>
      <c r="D273" s="217"/>
      <c r="E273" s="217"/>
      <c r="F273" s="217"/>
    </row>
    <row r="274" spans="2:6" x14ac:dyDescent="0.2">
      <c r="B274" s="217"/>
      <c r="C274" s="217"/>
      <c r="D274" s="217"/>
      <c r="E274" s="217"/>
      <c r="F274" s="217"/>
    </row>
    <row r="275" spans="2:6" x14ac:dyDescent="0.2">
      <c r="B275" s="217"/>
      <c r="C275" s="217"/>
      <c r="D275" s="217"/>
      <c r="E275" s="217"/>
      <c r="F275" s="217"/>
    </row>
    <row r="276" spans="2:6" x14ac:dyDescent="0.2">
      <c r="B276" s="217"/>
      <c r="C276" s="217"/>
      <c r="D276" s="217"/>
      <c r="E276" s="217"/>
      <c r="F276" s="217"/>
    </row>
    <row r="277" spans="2:6" x14ac:dyDescent="0.2">
      <c r="B277" s="217"/>
      <c r="C277" s="217"/>
      <c r="D277" s="217"/>
      <c r="E277" s="217"/>
      <c r="F277" s="217"/>
    </row>
    <row r="278" spans="2:6" x14ac:dyDescent="0.2">
      <c r="B278" s="217"/>
      <c r="C278" s="217"/>
      <c r="D278" s="217"/>
      <c r="E278" s="217"/>
      <c r="F278" s="217"/>
    </row>
    <row r="279" spans="2:6" x14ac:dyDescent="0.2">
      <c r="B279" s="217"/>
      <c r="C279" s="217"/>
      <c r="D279" s="217"/>
      <c r="E279" s="217"/>
      <c r="F279" s="217"/>
    </row>
    <row r="280" spans="2:6" x14ac:dyDescent="0.2">
      <c r="B280" s="217"/>
      <c r="C280" s="217"/>
      <c r="D280" s="217"/>
      <c r="E280" s="217"/>
      <c r="F280" s="217"/>
    </row>
    <row r="281" spans="2:6" x14ac:dyDescent="0.2">
      <c r="B281" s="217"/>
      <c r="C281" s="217"/>
      <c r="D281" s="217"/>
      <c r="E281" s="217"/>
      <c r="F281" s="217"/>
    </row>
    <row r="282" spans="2:6" x14ac:dyDescent="0.2">
      <c r="B282" s="217"/>
      <c r="C282" s="217"/>
      <c r="D282" s="217"/>
      <c r="E282" s="217"/>
      <c r="F282" s="217"/>
    </row>
    <row r="283" spans="2:6" x14ac:dyDescent="0.2">
      <c r="B283" s="217"/>
      <c r="C283" s="217"/>
      <c r="D283" s="217"/>
      <c r="E283" s="217"/>
      <c r="F283" s="217"/>
    </row>
    <row r="284" spans="2:6" x14ac:dyDescent="0.2">
      <c r="B284" s="217"/>
      <c r="C284" s="217"/>
      <c r="D284" s="217"/>
      <c r="E284" s="217"/>
      <c r="F284" s="217"/>
    </row>
    <row r="285" spans="2:6" x14ac:dyDescent="0.2">
      <c r="B285" s="217"/>
      <c r="C285" s="217"/>
      <c r="D285" s="217"/>
      <c r="E285" s="217"/>
      <c r="F285" s="217"/>
    </row>
    <row r="286" spans="2:6" x14ac:dyDescent="0.2">
      <c r="B286" s="217"/>
      <c r="C286" s="217"/>
      <c r="D286" s="217"/>
      <c r="E286" s="217"/>
      <c r="F286" s="217"/>
    </row>
    <row r="287" spans="2:6" x14ac:dyDescent="0.2">
      <c r="B287" s="217"/>
      <c r="C287" s="217"/>
      <c r="D287" s="217"/>
      <c r="E287" s="217"/>
      <c r="F287" s="217"/>
    </row>
    <row r="288" spans="2:6" x14ac:dyDescent="0.2">
      <c r="B288" s="217"/>
      <c r="C288" s="217"/>
      <c r="D288" s="217"/>
      <c r="E288" s="217"/>
      <c r="F288" s="217"/>
    </row>
    <row r="289" spans="2:6" x14ac:dyDescent="0.2">
      <c r="B289" s="217"/>
      <c r="C289" s="217"/>
      <c r="D289" s="217"/>
      <c r="E289" s="217"/>
      <c r="F289" s="217"/>
    </row>
    <row r="290" spans="2:6" x14ac:dyDescent="0.2">
      <c r="B290" s="217"/>
      <c r="C290" s="217"/>
      <c r="D290" s="217"/>
      <c r="E290" s="217"/>
      <c r="F290" s="217"/>
    </row>
    <row r="291" spans="2:6" x14ac:dyDescent="0.2">
      <c r="B291" s="217"/>
      <c r="C291" s="217"/>
      <c r="D291" s="217"/>
      <c r="E291" s="217"/>
      <c r="F291" s="217"/>
    </row>
    <row r="292" spans="2:6" x14ac:dyDescent="0.2">
      <c r="B292" s="217"/>
      <c r="C292" s="217"/>
      <c r="D292" s="217"/>
      <c r="E292" s="217"/>
      <c r="F292" s="217"/>
    </row>
    <row r="293" spans="2:6" x14ac:dyDescent="0.2">
      <c r="B293" s="217"/>
      <c r="C293" s="217"/>
      <c r="D293" s="217"/>
      <c r="E293" s="217"/>
      <c r="F293" s="217"/>
    </row>
    <row r="294" spans="2:6" x14ac:dyDescent="0.2">
      <c r="B294" s="217"/>
      <c r="C294" s="217"/>
      <c r="D294" s="217"/>
      <c r="E294" s="217"/>
      <c r="F294" s="217"/>
    </row>
    <row r="295" spans="2:6" x14ac:dyDescent="0.2">
      <c r="B295" s="217"/>
      <c r="C295" s="217"/>
      <c r="D295" s="217"/>
      <c r="E295" s="217"/>
      <c r="F295" s="217"/>
    </row>
    <row r="296" spans="2:6" x14ac:dyDescent="0.2">
      <c r="B296" s="217"/>
      <c r="C296" s="217"/>
      <c r="D296" s="217"/>
      <c r="E296" s="217"/>
      <c r="F296" s="217"/>
    </row>
    <row r="297" spans="2:6" x14ac:dyDescent="0.2">
      <c r="B297" s="217"/>
      <c r="C297" s="217"/>
      <c r="D297" s="217"/>
      <c r="E297" s="217"/>
      <c r="F297" s="217"/>
    </row>
    <row r="298" spans="2:6" x14ac:dyDescent="0.2">
      <c r="B298" s="217"/>
      <c r="C298" s="217"/>
      <c r="D298" s="217"/>
      <c r="E298" s="217"/>
      <c r="F298" s="217"/>
    </row>
    <row r="299" spans="2:6" x14ac:dyDescent="0.2">
      <c r="B299" s="217"/>
      <c r="C299" s="217"/>
      <c r="D299" s="217"/>
      <c r="E299" s="217"/>
      <c r="F299" s="217"/>
    </row>
    <row r="300" spans="2:6" x14ac:dyDescent="0.2">
      <c r="B300" s="217"/>
      <c r="C300" s="217"/>
      <c r="D300" s="217"/>
      <c r="E300" s="217"/>
      <c r="F300" s="217"/>
    </row>
    <row r="301" spans="2:6" x14ac:dyDescent="0.2">
      <c r="B301" s="217"/>
      <c r="C301" s="217"/>
      <c r="D301" s="217"/>
      <c r="E301" s="217"/>
      <c r="F301" s="217"/>
    </row>
    <row r="302" spans="2:6" x14ac:dyDescent="0.2">
      <c r="B302" s="217"/>
      <c r="C302" s="217"/>
      <c r="D302" s="217"/>
      <c r="E302" s="217"/>
      <c r="F302" s="217"/>
    </row>
    <row r="303" spans="2:6" x14ac:dyDescent="0.2">
      <c r="B303" s="217"/>
      <c r="C303" s="217"/>
      <c r="D303" s="217"/>
      <c r="E303" s="217"/>
      <c r="F303" s="217"/>
    </row>
    <row r="304" spans="2:6" x14ac:dyDescent="0.2">
      <c r="B304" s="217"/>
      <c r="C304" s="217"/>
      <c r="D304" s="217"/>
      <c r="E304" s="217"/>
      <c r="F304" s="217"/>
    </row>
    <row r="305" spans="2:6" x14ac:dyDescent="0.2">
      <c r="B305" s="217"/>
      <c r="C305" s="217"/>
      <c r="D305" s="217"/>
      <c r="E305" s="217"/>
      <c r="F305" s="217"/>
    </row>
    <row r="306" spans="2:6" x14ac:dyDescent="0.2">
      <c r="B306" s="217"/>
      <c r="C306" s="217"/>
      <c r="D306" s="217"/>
      <c r="E306" s="217"/>
      <c r="F306" s="217"/>
    </row>
    <row r="307" spans="2:6" x14ac:dyDescent="0.2">
      <c r="B307" s="217"/>
      <c r="C307" s="217"/>
      <c r="D307" s="217"/>
      <c r="E307" s="217"/>
      <c r="F307" s="217"/>
    </row>
    <row r="308" spans="2:6" x14ac:dyDescent="0.2">
      <c r="B308" s="217"/>
      <c r="C308" s="217"/>
      <c r="D308" s="217"/>
      <c r="E308" s="217"/>
      <c r="F308" s="217"/>
    </row>
    <row r="309" spans="2:6" x14ac:dyDescent="0.2">
      <c r="B309" s="217"/>
      <c r="C309" s="217"/>
      <c r="D309" s="217"/>
      <c r="E309" s="217"/>
      <c r="F309" s="217"/>
    </row>
    <row r="310" spans="2:6" x14ac:dyDescent="0.2">
      <c r="B310" s="217"/>
      <c r="C310" s="217"/>
      <c r="D310" s="217"/>
      <c r="E310" s="217"/>
      <c r="F310" s="217"/>
    </row>
    <row r="311" spans="2:6" x14ac:dyDescent="0.2">
      <c r="B311" s="217"/>
      <c r="C311" s="217"/>
      <c r="D311" s="217"/>
      <c r="E311" s="217"/>
      <c r="F311" s="217"/>
    </row>
    <row r="312" spans="2:6" x14ac:dyDescent="0.2">
      <c r="B312" s="217"/>
      <c r="C312" s="217"/>
      <c r="D312" s="217"/>
      <c r="E312" s="217"/>
      <c r="F312" s="217"/>
    </row>
    <row r="313" spans="2:6" x14ac:dyDescent="0.2">
      <c r="B313" s="217"/>
      <c r="C313" s="217"/>
      <c r="D313" s="217"/>
      <c r="E313" s="217"/>
      <c r="F313" s="217"/>
    </row>
    <row r="314" spans="2:6" x14ac:dyDescent="0.2">
      <c r="B314" s="217"/>
      <c r="C314" s="217"/>
      <c r="D314" s="217"/>
      <c r="E314" s="217"/>
      <c r="F314" s="217"/>
    </row>
    <row r="315" spans="2:6" x14ac:dyDescent="0.2">
      <c r="B315" s="217"/>
      <c r="C315" s="217"/>
      <c r="D315" s="217"/>
      <c r="E315" s="217"/>
      <c r="F315" s="217"/>
    </row>
    <row r="316" spans="2:6" x14ac:dyDescent="0.2">
      <c r="B316" s="217"/>
      <c r="C316" s="217"/>
      <c r="D316" s="217"/>
      <c r="E316" s="217"/>
      <c r="F316" s="217"/>
    </row>
    <row r="317" spans="2:6" x14ac:dyDescent="0.2">
      <c r="B317" s="217"/>
      <c r="C317" s="217"/>
      <c r="D317" s="217"/>
      <c r="E317" s="217"/>
      <c r="F317" s="217"/>
    </row>
    <row r="318" spans="2:6" x14ac:dyDescent="0.2">
      <c r="B318" s="217"/>
      <c r="C318" s="217"/>
      <c r="D318" s="217"/>
      <c r="E318" s="217"/>
      <c r="F318" s="217"/>
    </row>
    <row r="319" spans="2:6" x14ac:dyDescent="0.2">
      <c r="B319" s="217"/>
      <c r="C319" s="217"/>
      <c r="D319" s="217"/>
      <c r="E319" s="217"/>
      <c r="F319" s="217"/>
    </row>
    <row r="320" spans="2:6" x14ac:dyDescent="0.2">
      <c r="B320" s="217"/>
      <c r="C320" s="217"/>
      <c r="D320" s="217"/>
      <c r="E320" s="217"/>
      <c r="F320" s="217"/>
    </row>
    <row r="321" spans="2:6" x14ac:dyDescent="0.2">
      <c r="B321" s="217"/>
      <c r="C321" s="217"/>
      <c r="D321" s="217"/>
      <c r="E321" s="217"/>
      <c r="F321" s="217"/>
    </row>
    <row r="322" spans="2:6" x14ac:dyDescent="0.2">
      <c r="B322" s="217"/>
      <c r="C322" s="217"/>
      <c r="D322" s="217"/>
      <c r="E322" s="217"/>
      <c r="F322" s="217"/>
    </row>
    <row r="323" spans="2:6" x14ac:dyDescent="0.2">
      <c r="B323" s="217"/>
      <c r="C323" s="217"/>
      <c r="D323" s="217"/>
      <c r="E323" s="217"/>
      <c r="F323" s="217"/>
    </row>
    <row r="324" spans="2:6" x14ac:dyDescent="0.2">
      <c r="B324" s="217"/>
      <c r="C324" s="217"/>
      <c r="D324" s="217"/>
      <c r="E324" s="217"/>
      <c r="F324" s="217"/>
    </row>
    <row r="325" spans="2:6" x14ac:dyDescent="0.2">
      <c r="B325" s="217"/>
      <c r="C325" s="217"/>
      <c r="D325" s="217"/>
      <c r="E325" s="217"/>
      <c r="F325" s="217"/>
    </row>
    <row r="326" spans="2:6" x14ac:dyDescent="0.2">
      <c r="B326" s="217"/>
      <c r="C326" s="217"/>
      <c r="D326" s="217"/>
      <c r="E326" s="217"/>
      <c r="F326" s="217"/>
    </row>
    <row r="327" spans="2:6" x14ac:dyDescent="0.2">
      <c r="B327" s="217"/>
      <c r="C327" s="217"/>
      <c r="D327" s="217"/>
      <c r="E327" s="217"/>
      <c r="F327" s="217"/>
    </row>
    <row r="328" spans="2:6" x14ac:dyDescent="0.2">
      <c r="B328" s="217"/>
      <c r="C328" s="217"/>
      <c r="D328" s="217"/>
      <c r="E328" s="217"/>
      <c r="F328" s="217"/>
    </row>
    <row r="329" spans="2:6" x14ac:dyDescent="0.2">
      <c r="B329" s="217"/>
      <c r="C329" s="217"/>
      <c r="D329" s="217"/>
      <c r="E329" s="217"/>
      <c r="F329" s="217"/>
    </row>
    <row r="330" spans="2:6" x14ac:dyDescent="0.2">
      <c r="B330" s="217"/>
      <c r="C330" s="217"/>
      <c r="D330" s="217"/>
      <c r="E330" s="217"/>
      <c r="F330" s="217"/>
    </row>
    <row r="331" spans="2:6" x14ac:dyDescent="0.2">
      <c r="B331" s="217"/>
      <c r="C331" s="217"/>
      <c r="D331" s="217"/>
      <c r="E331" s="217"/>
      <c r="F331" s="217"/>
    </row>
    <row r="332" spans="2:6" x14ac:dyDescent="0.2">
      <c r="B332" s="217"/>
      <c r="C332" s="217"/>
      <c r="D332" s="217"/>
      <c r="E332" s="217"/>
      <c r="F332" s="217"/>
    </row>
    <row r="333" spans="2:6" x14ac:dyDescent="0.2">
      <c r="B333" s="217"/>
      <c r="C333" s="217"/>
      <c r="D333" s="217"/>
      <c r="E333" s="217"/>
      <c r="F333" s="217"/>
    </row>
    <row r="334" spans="2:6" x14ac:dyDescent="0.2">
      <c r="B334" s="217"/>
      <c r="C334" s="217"/>
      <c r="D334" s="217"/>
      <c r="E334" s="217"/>
      <c r="F334" s="217"/>
    </row>
    <row r="335" spans="2:6" x14ac:dyDescent="0.2">
      <c r="B335" s="217"/>
      <c r="C335" s="217"/>
      <c r="D335" s="217"/>
      <c r="E335" s="217"/>
      <c r="F335" s="217"/>
    </row>
    <row r="336" spans="2:6" x14ac:dyDescent="0.2">
      <c r="B336" s="217"/>
      <c r="C336" s="217"/>
      <c r="D336" s="217"/>
      <c r="E336" s="217"/>
      <c r="F336" s="217"/>
    </row>
    <row r="337" spans="2:6" x14ac:dyDescent="0.2">
      <c r="B337" s="217"/>
      <c r="C337" s="217"/>
      <c r="D337" s="217"/>
      <c r="E337" s="217"/>
      <c r="F337" s="217"/>
    </row>
    <row r="338" spans="2:6" x14ac:dyDescent="0.2">
      <c r="B338" s="217"/>
      <c r="C338" s="217"/>
      <c r="D338" s="217"/>
      <c r="E338" s="217"/>
      <c r="F338" s="217"/>
    </row>
    <row r="339" spans="2:6" x14ac:dyDescent="0.2">
      <c r="B339" s="217"/>
      <c r="C339" s="217"/>
      <c r="D339" s="217"/>
      <c r="E339" s="217"/>
      <c r="F339" s="217"/>
    </row>
    <row r="340" spans="2:6" x14ac:dyDescent="0.2">
      <c r="B340" s="217"/>
      <c r="C340" s="217"/>
      <c r="D340" s="217"/>
      <c r="E340" s="217"/>
      <c r="F340" s="217"/>
    </row>
    <row r="341" spans="2:6" x14ac:dyDescent="0.2">
      <c r="B341" s="217"/>
      <c r="C341" s="217"/>
      <c r="D341" s="217"/>
      <c r="E341" s="217"/>
      <c r="F341" s="217"/>
    </row>
    <row r="342" spans="2:6" x14ac:dyDescent="0.2">
      <c r="B342" s="217"/>
      <c r="C342" s="217"/>
      <c r="D342" s="217"/>
      <c r="E342" s="217"/>
      <c r="F342" s="217"/>
    </row>
    <row r="343" spans="2:6" x14ac:dyDescent="0.2">
      <c r="B343" s="217"/>
      <c r="C343" s="217"/>
      <c r="D343" s="217"/>
      <c r="E343" s="217"/>
      <c r="F343" s="217"/>
    </row>
    <row r="344" spans="2:6" x14ac:dyDescent="0.2">
      <c r="B344" s="217"/>
      <c r="C344" s="217"/>
      <c r="D344" s="217"/>
      <c r="E344" s="217"/>
      <c r="F344" s="217"/>
    </row>
    <row r="345" spans="2:6" x14ac:dyDescent="0.2">
      <c r="B345" s="217"/>
      <c r="C345" s="217"/>
      <c r="D345" s="217"/>
      <c r="E345" s="217"/>
      <c r="F345" s="217"/>
    </row>
    <row r="346" spans="2:6" x14ac:dyDescent="0.2">
      <c r="B346" s="217"/>
      <c r="C346" s="217"/>
      <c r="D346" s="217"/>
      <c r="E346" s="217"/>
      <c r="F346" s="217"/>
    </row>
    <row r="347" spans="2:6" x14ac:dyDescent="0.2">
      <c r="B347" s="217"/>
      <c r="C347" s="217"/>
      <c r="D347" s="217"/>
      <c r="E347" s="217"/>
      <c r="F347" s="217"/>
    </row>
    <row r="348" spans="2:6" x14ac:dyDescent="0.2">
      <c r="B348" s="217"/>
      <c r="C348" s="217"/>
      <c r="D348" s="217"/>
      <c r="E348" s="217"/>
      <c r="F348" s="217"/>
    </row>
    <row r="349" spans="2:6" x14ac:dyDescent="0.2">
      <c r="B349" s="217"/>
      <c r="C349" s="217"/>
      <c r="D349" s="217"/>
      <c r="E349" s="217"/>
      <c r="F349" s="217"/>
    </row>
    <row r="350" spans="2:6" x14ac:dyDescent="0.2">
      <c r="B350" s="217"/>
      <c r="C350" s="217"/>
      <c r="D350" s="217"/>
      <c r="E350" s="217"/>
      <c r="F350" s="217"/>
    </row>
    <row r="351" spans="2:6" x14ac:dyDescent="0.2">
      <c r="B351" s="217"/>
      <c r="C351" s="217"/>
      <c r="D351" s="217"/>
      <c r="E351" s="217"/>
      <c r="F351" s="217"/>
    </row>
    <row r="352" spans="2:6" x14ac:dyDescent="0.2">
      <c r="B352" s="217"/>
      <c r="C352" s="217"/>
      <c r="D352" s="217"/>
      <c r="E352" s="217"/>
      <c r="F352" s="217"/>
    </row>
    <row r="353" spans="2:6" x14ac:dyDescent="0.2">
      <c r="B353" s="217"/>
      <c r="C353" s="217"/>
      <c r="D353" s="217"/>
      <c r="E353" s="217"/>
      <c r="F353" s="217"/>
    </row>
    <row r="354" spans="2:6" x14ac:dyDescent="0.2">
      <c r="B354" s="217"/>
      <c r="C354" s="217"/>
      <c r="D354" s="217"/>
      <c r="E354" s="217"/>
      <c r="F354" s="217"/>
    </row>
    <row r="355" spans="2:6" x14ac:dyDescent="0.2">
      <c r="B355" s="217"/>
      <c r="C355" s="217"/>
      <c r="D355" s="217"/>
      <c r="E355" s="217"/>
      <c r="F355" s="217"/>
    </row>
    <row r="356" spans="2:6" x14ac:dyDescent="0.2">
      <c r="B356" s="217"/>
      <c r="C356" s="217"/>
      <c r="D356" s="217"/>
      <c r="E356" s="217"/>
      <c r="F356" s="217"/>
    </row>
    <row r="357" spans="2:6" x14ac:dyDescent="0.2">
      <c r="B357" s="217"/>
      <c r="C357" s="217"/>
      <c r="D357" s="217"/>
      <c r="E357" s="217"/>
      <c r="F357" s="217"/>
    </row>
    <row r="358" spans="2:6" x14ac:dyDescent="0.2">
      <c r="B358" s="217"/>
      <c r="C358" s="217"/>
      <c r="D358" s="217"/>
      <c r="E358" s="217"/>
      <c r="F358" s="217"/>
    </row>
    <row r="359" spans="2:6" x14ac:dyDescent="0.2">
      <c r="B359" s="217"/>
      <c r="C359" s="217"/>
      <c r="D359" s="217"/>
      <c r="E359" s="217"/>
      <c r="F359" s="217"/>
    </row>
    <row r="360" spans="2:6" x14ac:dyDescent="0.2">
      <c r="B360" s="217"/>
      <c r="C360" s="217"/>
      <c r="D360" s="217"/>
      <c r="E360" s="217"/>
      <c r="F360" s="217"/>
    </row>
    <row r="361" spans="2:6" x14ac:dyDescent="0.2">
      <c r="B361" s="217"/>
      <c r="C361" s="217"/>
      <c r="D361" s="217"/>
      <c r="E361" s="217"/>
      <c r="F361" s="217"/>
    </row>
    <row r="362" spans="2:6" x14ac:dyDescent="0.2">
      <c r="B362" s="217"/>
      <c r="C362" s="217"/>
      <c r="D362" s="217"/>
      <c r="E362" s="217"/>
      <c r="F362" s="217"/>
    </row>
    <row r="363" spans="2:6" x14ac:dyDescent="0.2">
      <c r="B363" s="217"/>
      <c r="C363" s="217"/>
      <c r="D363" s="217"/>
      <c r="E363" s="217"/>
      <c r="F363" s="217"/>
    </row>
    <row r="364" spans="2:6" x14ac:dyDescent="0.2">
      <c r="B364" s="217"/>
      <c r="C364" s="217"/>
      <c r="D364" s="217"/>
      <c r="E364" s="217"/>
      <c r="F364" s="217"/>
    </row>
    <row r="365" spans="2:6" x14ac:dyDescent="0.2">
      <c r="B365" s="217"/>
      <c r="C365" s="217"/>
      <c r="D365" s="217"/>
      <c r="E365" s="217"/>
      <c r="F365" s="217"/>
    </row>
    <row r="366" spans="2:6" x14ac:dyDescent="0.2">
      <c r="B366" s="217"/>
      <c r="C366" s="217"/>
      <c r="D366" s="217"/>
      <c r="E366" s="217"/>
      <c r="F366" s="217"/>
    </row>
    <row r="367" spans="2:6" x14ac:dyDescent="0.2">
      <c r="B367" s="217"/>
      <c r="C367" s="217"/>
      <c r="D367" s="217"/>
      <c r="E367" s="217"/>
      <c r="F367" s="217"/>
    </row>
    <row r="368" spans="2:6" x14ac:dyDescent="0.2">
      <c r="B368" s="217"/>
      <c r="C368" s="217"/>
      <c r="D368" s="217"/>
      <c r="E368" s="217"/>
      <c r="F368" s="217"/>
    </row>
    <row r="369" spans="2:6" x14ac:dyDescent="0.2">
      <c r="B369" s="217"/>
      <c r="C369" s="217"/>
      <c r="D369" s="217"/>
      <c r="E369" s="217"/>
      <c r="F369" s="217"/>
    </row>
    <row r="370" spans="2:6" x14ac:dyDescent="0.2">
      <c r="B370" s="217"/>
      <c r="C370" s="217"/>
      <c r="D370" s="217"/>
      <c r="E370" s="217"/>
      <c r="F370" s="217"/>
    </row>
    <row r="371" spans="2:6" x14ac:dyDescent="0.2">
      <c r="B371" s="217"/>
      <c r="C371" s="217"/>
      <c r="D371" s="217"/>
      <c r="E371" s="217"/>
      <c r="F371" s="217"/>
    </row>
    <row r="372" spans="2:6" x14ac:dyDescent="0.2">
      <c r="B372" s="217"/>
      <c r="C372" s="217"/>
      <c r="D372" s="217"/>
      <c r="E372" s="217"/>
      <c r="F372" s="217"/>
    </row>
    <row r="373" spans="2:6" x14ac:dyDescent="0.2">
      <c r="B373" s="217"/>
      <c r="C373" s="217"/>
      <c r="D373" s="217"/>
      <c r="E373" s="217"/>
      <c r="F373" s="217"/>
    </row>
    <row r="374" spans="2:6" x14ac:dyDescent="0.2">
      <c r="B374" s="217"/>
      <c r="C374" s="217"/>
      <c r="D374" s="217"/>
      <c r="E374" s="217"/>
      <c r="F374" s="217"/>
    </row>
    <row r="375" spans="2:6" x14ac:dyDescent="0.2">
      <c r="B375" s="217"/>
      <c r="C375" s="217"/>
      <c r="D375" s="217"/>
      <c r="E375" s="217"/>
      <c r="F375" s="217"/>
    </row>
    <row r="376" spans="2:6" x14ac:dyDescent="0.2">
      <c r="B376" s="217"/>
      <c r="C376" s="217"/>
      <c r="D376" s="217"/>
      <c r="E376" s="217"/>
      <c r="F376" s="217"/>
    </row>
    <row r="377" spans="2:6" x14ac:dyDescent="0.2">
      <c r="B377" s="217"/>
      <c r="C377" s="217"/>
      <c r="D377" s="217"/>
      <c r="E377" s="217"/>
      <c r="F377" s="217"/>
    </row>
    <row r="378" spans="2:6" x14ac:dyDescent="0.2">
      <c r="B378" s="217"/>
      <c r="C378" s="217"/>
      <c r="D378" s="217"/>
      <c r="E378" s="217"/>
      <c r="F378" s="217"/>
    </row>
    <row r="379" spans="2:6" x14ac:dyDescent="0.2">
      <c r="B379" s="217"/>
      <c r="C379" s="217"/>
      <c r="D379" s="217"/>
      <c r="E379" s="217"/>
      <c r="F379" s="217"/>
    </row>
    <row r="380" spans="2:6" x14ac:dyDescent="0.2">
      <c r="B380" s="217"/>
      <c r="C380" s="217"/>
      <c r="D380" s="217"/>
      <c r="E380" s="217"/>
      <c r="F380" s="217"/>
    </row>
    <row r="381" spans="2:6" x14ac:dyDescent="0.2">
      <c r="B381" s="217"/>
      <c r="C381" s="217"/>
      <c r="D381" s="217"/>
      <c r="E381" s="217"/>
      <c r="F381" s="217"/>
    </row>
    <row r="382" spans="2:6" x14ac:dyDescent="0.2">
      <c r="B382" s="217"/>
      <c r="C382" s="217"/>
      <c r="D382" s="217"/>
      <c r="E382" s="217"/>
      <c r="F382" s="217"/>
    </row>
    <row r="383" spans="2:6" x14ac:dyDescent="0.2">
      <c r="B383" s="217"/>
      <c r="C383" s="217"/>
      <c r="D383" s="217"/>
      <c r="E383" s="217"/>
      <c r="F383" s="217"/>
    </row>
    <row r="384" spans="2:6" x14ac:dyDescent="0.2">
      <c r="B384" s="217"/>
      <c r="C384" s="217"/>
      <c r="D384" s="217"/>
      <c r="E384" s="217"/>
      <c r="F384" s="217"/>
    </row>
    <row r="385" spans="2:6" x14ac:dyDescent="0.2">
      <c r="B385" s="217"/>
      <c r="C385" s="217"/>
      <c r="D385" s="217"/>
      <c r="E385" s="217"/>
      <c r="F385" s="217"/>
    </row>
    <row r="386" spans="2:6" x14ac:dyDescent="0.2">
      <c r="B386" s="217"/>
      <c r="C386" s="217"/>
      <c r="D386" s="217"/>
      <c r="E386" s="217"/>
      <c r="F386" s="217"/>
    </row>
    <row r="387" spans="2:6" x14ac:dyDescent="0.2">
      <c r="B387" s="217"/>
      <c r="C387" s="217"/>
      <c r="D387" s="217"/>
      <c r="E387" s="217"/>
      <c r="F387" s="217"/>
    </row>
    <row r="388" spans="2:6" x14ac:dyDescent="0.2">
      <c r="B388" s="217"/>
      <c r="C388" s="217"/>
      <c r="D388" s="217"/>
      <c r="E388" s="217"/>
      <c r="F388" s="217"/>
    </row>
    <row r="389" spans="2:6" x14ac:dyDescent="0.2">
      <c r="B389" s="217"/>
      <c r="C389" s="217"/>
      <c r="D389" s="217"/>
      <c r="E389" s="217"/>
      <c r="F389" s="217"/>
    </row>
    <row r="390" spans="2:6" x14ac:dyDescent="0.2">
      <c r="B390" s="217"/>
      <c r="C390" s="217"/>
      <c r="D390" s="217"/>
      <c r="E390" s="217"/>
      <c r="F390" s="217"/>
    </row>
    <row r="391" spans="2:6" x14ac:dyDescent="0.2">
      <c r="B391" s="217"/>
      <c r="C391" s="217"/>
      <c r="D391" s="217"/>
      <c r="E391" s="217"/>
      <c r="F391" s="217"/>
    </row>
    <row r="392" spans="2:6" x14ac:dyDescent="0.2">
      <c r="B392" s="217"/>
      <c r="C392" s="217"/>
      <c r="D392" s="217"/>
      <c r="E392" s="217"/>
      <c r="F392" s="217"/>
    </row>
    <row r="393" spans="2:6" x14ac:dyDescent="0.2">
      <c r="B393" s="217"/>
      <c r="C393" s="217"/>
      <c r="D393" s="217"/>
      <c r="E393" s="217"/>
      <c r="F393" s="217"/>
    </row>
    <row r="394" spans="2:6" x14ac:dyDescent="0.2">
      <c r="B394" s="217"/>
      <c r="C394" s="217"/>
      <c r="D394" s="217"/>
      <c r="E394" s="217"/>
      <c r="F394" s="217"/>
    </row>
    <row r="395" spans="2:6" x14ac:dyDescent="0.2">
      <c r="B395" s="217"/>
      <c r="C395" s="217"/>
      <c r="D395" s="217"/>
      <c r="E395" s="217"/>
      <c r="F395" s="217"/>
    </row>
    <row r="396" spans="2:6" x14ac:dyDescent="0.2">
      <c r="B396" s="217"/>
      <c r="C396" s="217"/>
      <c r="D396" s="217"/>
      <c r="E396" s="217"/>
      <c r="F396" s="217"/>
    </row>
    <row r="397" spans="2:6" x14ac:dyDescent="0.2">
      <c r="B397" s="217"/>
      <c r="C397" s="217"/>
      <c r="D397" s="217"/>
      <c r="E397" s="217"/>
      <c r="F397" s="217"/>
    </row>
    <row r="398" spans="2:6" x14ac:dyDescent="0.2">
      <c r="B398" s="217"/>
      <c r="C398" s="217"/>
      <c r="D398" s="217"/>
      <c r="E398" s="217"/>
      <c r="F398" s="217"/>
    </row>
    <row r="399" spans="2:6" x14ac:dyDescent="0.2">
      <c r="B399" s="217"/>
      <c r="C399" s="217"/>
      <c r="D399" s="217"/>
      <c r="E399" s="217"/>
      <c r="F399" s="217"/>
    </row>
    <row r="400" spans="2:6" x14ac:dyDescent="0.2">
      <c r="B400" s="217"/>
      <c r="C400" s="217"/>
      <c r="D400" s="217"/>
      <c r="E400" s="217"/>
      <c r="F400" s="217"/>
    </row>
    <row r="401" spans="2:6" x14ac:dyDescent="0.2">
      <c r="B401" s="217"/>
      <c r="C401" s="217"/>
      <c r="D401" s="217"/>
      <c r="E401" s="217"/>
      <c r="F401" s="217"/>
    </row>
    <row r="402" spans="2:6" x14ac:dyDescent="0.2">
      <c r="B402" s="217"/>
      <c r="C402" s="217"/>
      <c r="D402" s="217"/>
      <c r="E402" s="217"/>
      <c r="F402" s="217"/>
    </row>
    <row r="403" spans="2:6" x14ac:dyDescent="0.2">
      <c r="B403" s="217"/>
      <c r="C403" s="217"/>
      <c r="D403" s="217"/>
      <c r="E403" s="217"/>
      <c r="F403" s="217"/>
    </row>
    <row r="404" spans="2:6" x14ac:dyDescent="0.2">
      <c r="B404" s="217"/>
      <c r="C404" s="217"/>
      <c r="D404" s="217"/>
      <c r="E404" s="217"/>
      <c r="F404" s="217"/>
    </row>
    <row r="405" spans="2:6" x14ac:dyDescent="0.2">
      <c r="B405" s="217"/>
      <c r="C405" s="217"/>
      <c r="D405" s="217"/>
      <c r="E405" s="217"/>
      <c r="F405" s="217"/>
    </row>
    <row r="406" spans="2:6" x14ac:dyDescent="0.2">
      <c r="B406" s="217"/>
      <c r="C406" s="217"/>
      <c r="D406" s="217"/>
      <c r="E406" s="217"/>
      <c r="F406" s="217"/>
    </row>
    <row r="407" spans="2:6" x14ac:dyDescent="0.2">
      <c r="B407" s="217"/>
      <c r="C407" s="217"/>
      <c r="D407" s="217"/>
      <c r="E407" s="217"/>
      <c r="F407" s="217"/>
    </row>
    <row r="408" spans="2:6" x14ac:dyDescent="0.2">
      <c r="B408" s="217"/>
      <c r="C408" s="217"/>
      <c r="D408" s="217"/>
      <c r="E408" s="217"/>
      <c r="F408" s="217"/>
    </row>
    <row r="409" spans="2:6" x14ac:dyDescent="0.2">
      <c r="B409" s="217"/>
      <c r="C409" s="217"/>
      <c r="D409" s="217"/>
      <c r="E409" s="217"/>
      <c r="F409" s="217"/>
    </row>
    <row r="410" spans="2:6" x14ac:dyDescent="0.2">
      <c r="B410" s="217"/>
      <c r="C410" s="217"/>
      <c r="D410" s="217"/>
      <c r="E410" s="217"/>
      <c r="F410" s="217"/>
    </row>
    <row r="411" spans="2:6" x14ac:dyDescent="0.2">
      <c r="B411" s="217"/>
      <c r="C411" s="217"/>
      <c r="D411" s="217"/>
      <c r="E411" s="217"/>
      <c r="F411" s="217"/>
    </row>
    <row r="412" spans="2:6" x14ac:dyDescent="0.2">
      <c r="B412" s="217"/>
      <c r="C412" s="217"/>
      <c r="D412" s="217"/>
      <c r="E412" s="217"/>
      <c r="F412" s="217"/>
    </row>
    <row r="413" spans="2:6" x14ac:dyDescent="0.2">
      <c r="B413" s="217"/>
      <c r="C413" s="217"/>
      <c r="D413" s="217"/>
      <c r="E413" s="217"/>
      <c r="F413" s="217"/>
    </row>
    <row r="414" spans="2:6" x14ac:dyDescent="0.2">
      <c r="B414" s="217"/>
      <c r="C414" s="217"/>
      <c r="D414" s="217"/>
      <c r="E414" s="217"/>
      <c r="F414" s="217"/>
    </row>
    <row r="415" spans="2:6" x14ac:dyDescent="0.2">
      <c r="B415" s="217"/>
      <c r="C415" s="217"/>
      <c r="D415" s="217"/>
      <c r="E415" s="217"/>
      <c r="F415" s="217"/>
    </row>
    <row r="416" spans="2:6" x14ac:dyDescent="0.2">
      <c r="B416" s="217"/>
      <c r="C416" s="217"/>
      <c r="D416" s="217"/>
      <c r="E416" s="217"/>
      <c r="F416" s="217"/>
    </row>
    <row r="417" spans="2:6" x14ac:dyDescent="0.2">
      <c r="B417" s="217"/>
      <c r="C417" s="217"/>
      <c r="D417" s="217"/>
      <c r="E417" s="217"/>
      <c r="F417" s="217"/>
    </row>
    <row r="418" spans="2:6" x14ac:dyDescent="0.2">
      <c r="B418" s="217"/>
      <c r="C418" s="217"/>
      <c r="D418" s="217"/>
      <c r="E418" s="217"/>
      <c r="F418" s="217"/>
    </row>
    <row r="419" spans="2:6" x14ac:dyDescent="0.2">
      <c r="B419" s="217"/>
      <c r="C419" s="217"/>
      <c r="D419" s="217"/>
      <c r="E419" s="217"/>
      <c r="F419" s="217"/>
    </row>
    <row r="420" spans="2:6" x14ac:dyDescent="0.2">
      <c r="B420" s="217"/>
      <c r="C420" s="217"/>
      <c r="D420" s="217"/>
      <c r="E420" s="217"/>
      <c r="F420" s="217"/>
    </row>
    <row r="421" spans="2:6" x14ac:dyDescent="0.2">
      <c r="B421" s="217"/>
      <c r="C421" s="217"/>
      <c r="D421" s="217"/>
      <c r="E421" s="217"/>
      <c r="F421" s="217"/>
    </row>
    <row r="422" spans="2:6" x14ac:dyDescent="0.2">
      <c r="B422" s="217"/>
      <c r="C422" s="217"/>
      <c r="D422" s="217"/>
      <c r="E422" s="217"/>
      <c r="F422" s="217"/>
    </row>
    <row r="423" spans="2:6" x14ac:dyDescent="0.2">
      <c r="B423" s="217"/>
      <c r="C423" s="217"/>
      <c r="D423" s="217"/>
      <c r="E423" s="217"/>
      <c r="F423" s="217"/>
    </row>
    <row r="424" spans="2:6" x14ac:dyDescent="0.2">
      <c r="B424" s="217"/>
      <c r="C424" s="217"/>
      <c r="D424" s="217"/>
      <c r="E424" s="217"/>
      <c r="F424" s="217"/>
    </row>
    <row r="425" spans="2:6" x14ac:dyDescent="0.2">
      <c r="B425" s="217"/>
      <c r="C425" s="217"/>
      <c r="D425" s="217"/>
      <c r="E425" s="217"/>
      <c r="F425" s="217"/>
    </row>
    <row r="426" spans="2:6" x14ac:dyDescent="0.2">
      <c r="B426" s="217"/>
      <c r="C426" s="217"/>
      <c r="D426" s="217"/>
      <c r="E426" s="217"/>
      <c r="F426" s="217"/>
    </row>
    <row r="427" spans="2:6" x14ac:dyDescent="0.2">
      <c r="B427" s="217"/>
      <c r="C427" s="217"/>
      <c r="D427" s="217"/>
      <c r="E427" s="217"/>
      <c r="F427" s="217"/>
    </row>
    <row r="428" spans="2:6" x14ac:dyDescent="0.2">
      <c r="B428" s="217"/>
      <c r="C428" s="217"/>
      <c r="D428" s="217"/>
      <c r="E428" s="217"/>
      <c r="F428" s="217"/>
    </row>
    <row r="429" spans="2:6" x14ac:dyDescent="0.2">
      <c r="B429" s="217"/>
      <c r="C429" s="217"/>
      <c r="D429" s="217"/>
      <c r="E429" s="217"/>
      <c r="F429" s="217"/>
    </row>
    <row r="430" spans="2:6" x14ac:dyDescent="0.2">
      <c r="B430" s="217"/>
      <c r="C430" s="217"/>
      <c r="D430" s="217"/>
      <c r="E430" s="217"/>
      <c r="F430" s="217"/>
    </row>
    <row r="431" spans="2:6" x14ac:dyDescent="0.2">
      <c r="B431" s="217"/>
      <c r="C431" s="217"/>
      <c r="D431" s="217"/>
      <c r="E431" s="217"/>
      <c r="F431" s="217"/>
    </row>
    <row r="432" spans="2:6" x14ac:dyDescent="0.2">
      <c r="B432" s="217"/>
      <c r="C432" s="217"/>
      <c r="D432" s="217"/>
      <c r="E432" s="217"/>
      <c r="F432" s="217"/>
    </row>
    <row r="433" spans="2:6" x14ac:dyDescent="0.2">
      <c r="B433" s="217"/>
      <c r="C433" s="217"/>
      <c r="D433" s="217"/>
      <c r="E433" s="217"/>
      <c r="F433" s="217"/>
    </row>
    <row r="434" spans="2:6" x14ac:dyDescent="0.2">
      <c r="B434" s="217"/>
      <c r="C434" s="217"/>
      <c r="D434" s="217"/>
      <c r="E434" s="217"/>
      <c r="F434" s="217"/>
    </row>
    <row r="435" spans="2:6" x14ac:dyDescent="0.2">
      <c r="B435" s="217"/>
      <c r="C435" s="217"/>
      <c r="D435" s="217"/>
      <c r="E435" s="217"/>
      <c r="F435" s="217"/>
    </row>
    <row r="436" spans="2:6" x14ac:dyDescent="0.2">
      <c r="B436" s="217"/>
      <c r="C436" s="217"/>
      <c r="D436" s="217"/>
      <c r="E436" s="217"/>
      <c r="F436" s="217"/>
    </row>
    <row r="437" spans="2:6" x14ac:dyDescent="0.2">
      <c r="B437" s="217"/>
      <c r="C437" s="217"/>
      <c r="D437" s="217"/>
      <c r="E437" s="217"/>
      <c r="F437" s="217"/>
    </row>
    <row r="438" spans="2:6" x14ac:dyDescent="0.2">
      <c r="B438" s="217"/>
      <c r="C438" s="217"/>
      <c r="D438" s="217"/>
      <c r="E438" s="217"/>
      <c r="F438" s="217"/>
    </row>
    <row r="439" spans="2:6" x14ac:dyDescent="0.2">
      <c r="B439" s="217"/>
      <c r="C439" s="217"/>
      <c r="D439" s="217"/>
      <c r="E439" s="217"/>
      <c r="F439" s="217"/>
    </row>
    <row r="440" spans="2:6" x14ac:dyDescent="0.2">
      <c r="B440" s="217"/>
      <c r="C440" s="217"/>
      <c r="D440" s="217"/>
      <c r="E440" s="217"/>
      <c r="F440" s="217"/>
    </row>
    <row r="441" spans="2:6" x14ac:dyDescent="0.2">
      <c r="B441" s="217"/>
      <c r="C441" s="217"/>
      <c r="D441" s="217"/>
      <c r="E441" s="217"/>
      <c r="F441" s="217"/>
    </row>
    <row r="442" spans="2:6" x14ac:dyDescent="0.2">
      <c r="B442" s="217"/>
      <c r="C442" s="217"/>
      <c r="D442" s="217"/>
      <c r="E442" s="217"/>
      <c r="F442" s="217"/>
    </row>
    <row r="443" spans="2:6" x14ac:dyDescent="0.2">
      <c r="B443" s="217"/>
      <c r="C443" s="217"/>
      <c r="D443" s="217"/>
      <c r="E443" s="217"/>
      <c r="F443" s="217"/>
    </row>
    <row r="444" spans="2:6" x14ac:dyDescent="0.2">
      <c r="B444" s="217"/>
      <c r="C444" s="217"/>
      <c r="D444" s="217"/>
      <c r="E444" s="217"/>
      <c r="F444" s="217"/>
    </row>
    <row r="445" spans="2:6" x14ac:dyDescent="0.2">
      <c r="B445" s="217"/>
      <c r="C445" s="217"/>
      <c r="D445" s="217"/>
      <c r="E445" s="217"/>
      <c r="F445" s="217"/>
    </row>
    <row r="446" spans="2:6" x14ac:dyDescent="0.2">
      <c r="B446" s="217"/>
      <c r="C446" s="217"/>
      <c r="D446" s="217"/>
      <c r="E446" s="217"/>
      <c r="F446" s="217"/>
    </row>
    <row r="447" spans="2:6" x14ac:dyDescent="0.2">
      <c r="B447" s="217"/>
      <c r="C447" s="217"/>
      <c r="D447" s="217"/>
      <c r="E447" s="217"/>
      <c r="F447" s="217"/>
    </row>
    <row r="448" spans="2:6" x14ac:dyDescent="0.2">
      <c r="B448" s="217"/>
      <c r="C448" s="217"/>
      <c r="D448" s="217"/>
      <c r="E448" s="217"/>
      <c r="F448" s="217"/>
    </row>
    <row r="449" spans="2:6" x14ac:dyDescent="0.2">
      <c r="B449" s="217"/>
      <c r="C449" s="217"/>
      <c r="D449" s="217"/>
      <c r="E449" s="217"/>
      <c r="F449" s="217"/>
    </row>
    <row r="450" spans="2:6" x14ac:dyDescent="0.2">
      <c r="B450" s="217"/>
      <c r="C450" s="217"/>
      <c r="D450" s="217"/>
      <c r="E450" s="217"/>
      <c r="F450" s="217"/>
    </row>
    <row r="451" spans="2:6" x14ac:dyDescent="0.2">
      <c r="B451" s="217"/>
      <c r="C451" s="217"/>
      <c r="D451" s="217"/>
      <c r="E451" s="217"/>
      <c r="F451" s="217"/>
    </row>
    <row r="452" spans="2:6" x14ac:dyDescent="0.2">
      <c r="B452" s="217"/>
      <c r="C452" s="217"/>
      <c r="D452" s="217"/>
      <c r="E452" s="217"/>
      <c r="F452" s="217"/>
    </row>
    <row r="453" spans="2:6" x14ac:dyDescent="0.2">
      <c r="B453" s="217"/>
      <c r="C453" s="217"/>
      <c r="D453" s="217"/>
      <c r="E453" s="217"/>
      <c r="F453" s="217"/>
    </row>
    <row r="454" spans="2:6" x14ac:dyDescent="0.2">
      <c r="B454" s="217"/>
      <c r="C454" s="217"/>
      <c r="D454" s="217"/>
      <c r="E454" s="217"/>
      <c r="F454" s="217"/>
    </row>
    <row r="455" spans="2:6" x14ac:dyDescent="0.2">
      <c r="B455" s="217"/>
      <c r="C455" s="217"/>
      <c r="D455" s="217"/>
      <c r="E455" s="217"/>
      <c r="F455" s="217"/>
    </row>
    <row r="456" spans="2:6" x14ac:dyDescent="0.2">
      <c r="B456" s="217"/>
      <c r="C456" s="217"/>
      <c r="D456" s="217"/>
      <c r="E456" s="217"/>
      <c r="F456" s="217"/>
    </row>
    <row r="457" spans="2:6" x14ac:dyDescent="0.2">
      <c r="B457" s="217"/>
      <c r="C457" s="217"/>
      <c r="D457" s="217"/>
      <c r="E457" s="217"/>
      <c r="F457" s="217"/>
    </row>
    <row r="458" spans="2:6" x14ac:dyDescent="0.2">
      <c r="B458" s="217"/>
      <c r="C458" s="217"/>
      <c r="D458" s="217"/>
      <c r="E458" s="217"/>
      <c r="F458" s="217"/>
    </row>
    <row r="459" spans="2:6" x14ac:dyDescent="0.2">
      <c r="B459" s="217"/>
      <c r="C459" s="217"/>
      <c r="D459" s="217"/>
      <c r="E459" s="217"/>
      <c r="F459" s="217"/>
    </row>
    <row r="460" spans="2:6" x14ac:dyDescent="0.2">
      <c r="B460" s="217"/>
      <c r="C460" s="217"/>
      <c r="D460" s="217"/>
      <c r="E460" s="217"/>
      <c r="F460" s="217"/>
    </row>
    <row r="461" spans="2:6" x14ac:dyDescent="0.2">
      <c r="B461" s="217"/>
      <c r="C461" s="217"/>
      <c r="D461" s="217"/>
      <c r="E461" s="217"/>
      <c r="F461" s="217"/>
    </row>
    <row r="462" spans="2:6" x14ac:dyDescent="0.2">
      <c r="B462" s="217"/>
      <c r="C462" s="217"/>
      <c r="D462" s="217"/>
      <c r="E462" s="217"/>
      <c r="F462" s="217"/>
    </row>
    <row r="463" spans="2:6" x14ac:dyDescent="0.2">
      <c r="B463" s="217"/>
      <c r="C463" s="217"/>
      <c r="D463" s="217"/>
      <c r="E463" s="217"/>
      <c r="F463" s="217"/>
    </row>
    <row r="464" spans="2:6" x14ac:dyDescent="0.2">
      <c r="B464" s="217"/>
      <c r="C464" s="217"/>
      <c r="D464" s="217"/>
      <c r="E464" s="217"/>
      <c r="F464" s="217"/>
    </row>
    <row r="465" spans="2:6" x14ac:dyDescent="0.2">
      <c r="B465" s="217"/>
      <c r="C465" s="217"/>
      <c r="D465" s="217"/>
      <c r="E465" s="217"/>
      <c r="F465" s="217"/>
    </row>
    <row r="466" spans="2:6" x14ac:dyDescent="0.2">
      <c r="B466" s="217"/>
      <c r="C466" s="217"/>
      <c r="D466" s="217"/>
      <c r="E466" s="217"/>
      <c r="F466" s="217"/>
    </row>
    <row r="467" spans="2:6" x14ac:dyDescent="0.2">
      <c r="B467" s="217"/>
      <c r="C467" s="217"/>
      <c r="D467" s="217"/>
      <c r="E467" s="217"/>
      <c r="F467" s="217"/>
    </row>
    <row r="468" spans="2:6" x14ac:dyDescent="0.2">
      <c r="B468" s="217"/>
      <c r="C468" s="217"/>
      <c r="D468" s="217"/>
      <c r="E468" s="217"/>
      <c r="F468" s="217"/>
    </row>
    <row r="469" spans="2:6" x14ac:dyDescent="0.2">
      <c r="B469" s="217"/>
      <c r="C469" s="217"/>
      <c r="D469" s="217"/>
      <c r="E469" s="217"/>
      <c r="F469" s="217"/>
    </row>
    <row r="470" spans="2:6" x14ac:dyDescent="0.2">
      <c r="B470" s="217"/>
      <c r="C470" s="217"/>
      <c r="D470" s="217"/>
      <c r="E470" s="217"/>
      <c r="F470" s="217"/>
    </row>
    <row r="471" spans="2:6" x14ac:dyDescent="0.2">
      <c r="B471" s="217"/>
      <c r="C471" s="217"/>
      <c r="D471" s="217"/>
      <c r="E471" s="217"/>
      <c r="F471" s="217"/>
    </row>
    <row r="472" spans="2:6" x14ac:dyDescent="0.2">
      <c r="B472" s="217"/>
      <c r="C472" s="217"/>
      <c r="D472" s="217"/>
      <c r="E472" s="217"/>
      <c r="F472" s="217"/>
    </row>
    <row r="473" spans="2:6" x14ac:dyDescent="0.2">
      <c r="B473" s="217"/>
      <c r="C473" s="217"/>
      <c r="D473" s="217"/>
      <c r="E473" s="217"/>
      <c r="F473" s="217"/>
    </row>
    <row r="474" spans="2:6" x14ac:dyDescent="0.2">
      <c r="B474" s="217"/>
      <c r="C474" s="217"/>
      <c r="D474" s="217"/>
      <c r="E474" s="217"/>
      <c r="F474" s="217"/>
    </row>
    <row r="475" spans="2:6" x14ac:dyDescent="0.2">
      <c r="B475" s="217"/>
      <c r="C475" s="217"/>
      <c r="D475" s="217"/>
      <c r="E475" s="217"/>
      <c r="F475" s="217"/>
    </row>
    <row r="476" spans="2:6" x14ac:dyDescent="0.2">
      <c r="B476" s="217"/>
      <c r="C476" s="217"/>
      <c r="D476" s="217"/>
      <c r="E476" s="217"/>
      <c r="F476" s="217"/>
    </row>
    <row r="477" spans="2:6" x14ac:dyDescent="0.2">
      <c r="B477" s="217"/>
      <c r="C477" s="217"/>
      <c r="D477" s="217"/>
      <c r="E477" s="217"/>
      <c r="F477" s="217"/>
    </row>
    <row r="478" spans="2:6" x14ac:dyDescent="0.2">
      <c r="B478" s="217"/>
      <c r="C478" s="217"/>
      <c r="D478" s="217"/>
      <c r="E478" s="217"/>
      <c r="F478" s="217"/>
    </row>
    <row r="479" spans="2:6" x14ac:dyDescent="0.2">
      <c r="B479" s="217"/>
      <c r="C479" s="217"/>
      <c r="D479" s="217"/>
      <c r="E479" s="217"/>
      <c r="F479" s="217"/>
    </row>
    <row r="480" spans="2:6" x14ac:dyDescent="0.2">
      <c r="B480" s="217"/>
      <c r="C480" s="217"/>
      <c r="D480" s="217"/>
      <c r="E480" s="217"/>
      <c r="F480" s="217"/>
    </row>
    <row r="481" spans="2:6" x14ac:dyDescent="0.2">
      <c r="B481" s="217"/>
      <c r="C481" s="217"/>
      <c r="D481" s="217"/>
      <c r="E481" s="217"/>
      <c r="F481" s="217"/>
    </row>
    <row r="482" spans="2:6" x14ac:dyDescent="0.2">
      <c r="B482" s="217"/>
      <c r="C482" s="217"/>
      <c r="D482" s="217"/>
      <c r="E482" s="217"/>
      <c r="F482" s="217"/>
    </row>
    <row r="483" spans="2:6" x14ac:dyDescent="0.2">
      <c r="B483" s="217"/>
      <c r="C483" s="217"/>
      <c r="D483" s="217"/>
      <c r="E483" s="217"/>
      <c r="F483" s="217"/>
    </row>
    <row r="484" spans="2:6" x14ac:dyDescent="0.2">
      <c r="B484" s="217"/>
      <c r="C484" s="217"/>
      <c r="D484" s="217"/>
      <c r="E484" s="217"/>
      <c r="F484" s="217"/>
    </row>
    <row r="485" spans="2:6" x14ac:dyDescent="0.2">
      <c r="B485" s="217"/>
      <c r="C485" s="217"/>
      <c r="D485" s="217"/>
      <c r="E485" s="217"/>
      <c r="F485" s="217"/>
    </row>
    <row r="486" spans="2:6" x14ac:dyDescent="0.2">
      <c r="B486" s="217"/>
      <c r="C486" s="217"/>
      <c r="D486" s="217"/>
      <c r="E486" s="217"/>
      <c r="F486" s="217"/>
    </row>
    <row r="487" spans="2:6" x14ac:dyDescent="0.2">
      <c r="B487" s="217"/>
      <c r="C487" s="217"/>
      <c r="D487" s="217"/>
      <c r="E487" s="217"/>
      <c r="F487" s="217"/>
    </row>
    <row r="488" spans="2:6" x14ac:dyDescent="0.2">
      <c r="B488" s="217"/>
      <c r="C488" s="217"/>
      <c r="D488" s="217"/>
      <c r="E488" s="217"/>
      <c r="F488" s="217"/>
    </row>
    <row r="489" spans="2:6" x14ac:dyDescent="0.2">
      <c r="B489" s="217"/>
      <c r="C489" s="217"/>
      <c r="D489" s="217"/>
      <c r="E489" s="217"/>
      <c r="F489" s="217"/>
    </row>
    <row r="490" spans="2:6" x14ac:dyDescent="0.2">
      <c r="B490" s="217"/>
      <c r="C490" s="217"/>
      <c r="D490" s="217"/>
      <c r="E490" s="217"/>
      <c r="F490" s="217"/>
    </row>
    <row r="491" spans="2:6" x14ac:dyDescent="0.2">
      <c r="B491" s="217"/>
      <c r="C491" s="217"/>
      <c r="D491" s="217"/>
      <c r="E491" s="217"/>
      <c r="F491" s="217"/>
    </row>
    <row r="492" spans="2:6" x14ac:dyDescent="0.2">
      <c r="B492" s="217"/>
      <c r="C492" s="217"/>
      <c r="D492" s="217"/>
      <c r="E492" s="217"/>
      <c r="F492" s="217"/>
    </row>
    <row r="493" spans="2:6" x14ac:dyDescent="0.2">
      <c r="B493" s="217"/>
      <c r="C493" s="217"/>
      <c r="D493" s="217"/>
      <c r="E493" s="217"/>
      <c r="F493" s="217"/>
    </row>
    <row r="494" spans="2:6" x14ac:dyDescent="0.2">
      <c r="B494" s="217"/>
      <c r="C494" s="217"/>
      <c r="D494" s="217"/>
      <c r="E494" s="217"/>
      <c r="F494" s="217"/>
    </row>
    <row r="495" spans="2:6" x14ac:dyDescent="0.2">
      <c r="B495" s="217"/>
      <c r="C495" s="217"/>
      <c r="D495" s="217"/>
      <c r="E495" s="217"/>
      <c r="F495" s="217"/>
    </row>
    <row r="496" spans="2:6" x14ac:dyDescent="0.2">
      <c r="B496" s="217"/>
      <c r="C496" s="217"/>
      <c r="D496" s="217"/>
      <c r="E496" s="217"/>
      <c r="F496" s="217"/>
    </row>
    <row r="497" spans="2:6" x14ac:dyDescent="0.2">
      <c r="B497" s="217"/>
      <c r="C497" s="217"/>
      <c r="D497" s="217"/>
      <c r="E497" s="217"/>
      <c r="F497" s="217"/>
    </row>
    <row r="498" spans="2:6" x14ac:dyDescent="0.2">
      <c r="B498" s="217"/>
      <c r="C498" s="217"/>
      <c r="D498" s="217"/>
      <c r="E498" s="217"/>
      <c r="F498" s="217"/>
    </row>
    <row r="499" spans="2:6" x14ac:dyDescent="0.2">
      <c r="B499" s="217"/>
      <c r="C499" s="217"/>
      <c r="D499" s="217"/>
      <c r="E499" s="217"/>
      <c r="F499" s="217"/>
    </row>
    <row r="500" spans="2:6" x14ac:dyDescent="0.2">
      <c r="B500" s="217"/>
      <c r="C500" s="217"/>
      <c r="D500" s="217"/>
      <c r="E500" s="217"/>
      <c r="F500" s="217"/>
    </row>
    <row r="501" spans="2:6" x14ac:dyDescent="0.2">
      <c r="B501" s="217"/>
      <c r="C501" s="217"/>
      <c r="D501" s="217"/>
      <c r="E501" s="217"/>
      <c r="F501" s="217"/>
    </row>
    <row r="502" spans="2:6" x14ac:dyDescent="0.2">
      <c r="B502" s="217"/>
      <c r="C502" s="217"/>
      <c r="D502" s="217"/>
      <c r="E502" s="217"/>
      <c r="F502" s="217"/>
    </row>
    <row r="503" spans="2:6" x14ac:dyDescent="0.2">
      <c r="B503" s="217"/>
      <c r="C503" s="217"/>
      <c r="D503" s="217"/>
      <c r="E503" s="217"/>
      <c r="F503" s="217"/>
    </row>
    <row r="504" spans="2:6" x14ac:dyDescent="0.2">
      <c r="B504" s="217"/>
      <c r="C504" s="217"/>
      <c r="D504" s="217"/>
      <c r="E504" s="217"/>
      <c r="F504" s="217"/>
    </row>
    <row r="505" spans="2:6" x14ac:dyDescent="0.2">
      <c r="B505" s="217"/>
      <c r="C505" s="217"/>
      <c r="D505" s="217"/>
      <c r="E505" s="217"/>
      <c r="F505" s="217"/>
    </row>
    <row r="506" spans="2:6" x14ac:dyDescent="0.2">
      <c r="B506" s="217"/>
      <c r="C506" s="217"/>
      <c r="D506" s="217"/>
      <c r="E506" s="217"/>
      <c r="F506" s="217"/>
    </row>
    <row r="507" spans="2:6" x14ac:dyDescent="0.2">
      <c r="B507" s="217"/>
      <c r="C507" s="217"/>
      <c r="D507" s="217"/>
      <c r="E507" s="217"/>
      <c r="F507" s="217"/>
    </row>
    <row r="508" spans="2:6" x14ac:dyDescent="0.2">
      <c r="B508" s="217"/>
      <c r="C508" s="217"/>
      <c r="D508" s="217"/>
      <c r="E508" s="217"/>
      <c r="F508" s="217"/>
    </row>
    <row r="509" spans="2:6" x14ac:dyDescent="0.2">
      <c r="B509" s="217"/>
      <c r="C509" s="217"/>
      <c r="D509" s="217"/>
      <c r="E509" s="217"/>
      <c r="F509" s="217"/>
    </row>
    <row r="510" spans="2:6" x14ac:dyDescent="0.2">
      <c r="B510" s="217"/>
      <c r="C510" s="217"/>
      <c r="D510" s="217"/>
      <c r="E510" s="217"/>
      <c r="F510" s="217"/>
    </row>
    <row r="511" spans="2:6" x14ac:dyDescent="0.2">
      <c r="B511" s="217"/>
      <c r="C511" s="217"/>
      <c r="D511" s="217"/>
      <c r="E511" s="217"/>
      <c r="F511" s="217"/>
    </row>
    <row r="512" spans="2:6" x14ac:dyDescent="0.2">
      <c r="B512" s="217"/>
      <c r="C512" s="217"/>
      <c r="D512" s="217"/>
      <c r="E512" s="217"/>
      <c r="F512" s="217"/>
    </row>
    <row r="513" spans="2:6" x14ac:dyDescent="0.2">
      <c r="B513" s="217"/>
      <c r="C513" s="217"/>
      <c r="D513" s="217"/>
      <c r="E513" s="217"/>
      <c r="F513" s="217"/>
    </row>
    <row r="514" spans="2:6" x14ac:dyDescent="0.2">
      <c r="B514" s="217"/>
      <c r="C514" s="217"/>
      <c r="D514" s="217"/>
      <c r="E514" s="217"/>
      <c r="F514" s="217"/>
    </row>
    <row r="515" spans="2:6" x14ac:dyDescent="0.2">
      <c r="B515" s="217"/>
      <c r="C515" s="217"/>
      <c r="D515" s="217"/>
      <c r="E515" s="217"/>
      <c r="F515" s="217"/>
    </row>
    <row r="516" spans="2:6" x14ac:dyDescent="0.2">
      <c r="B516" s="217"/>
      <c r="C516" s="217"/>
      <c r="D516" s="217"/>
      <c r="E516" s="217"/>
      <c r="F516" s="217"/>
    </row>
    <row r="517" spans="2:6" x14ac:dyDescent="0.2">
      <c r="B517" s="217"/>
      <c r="C517" s="217"/>
      <c r="D517" s="217"/>
      <c r="E517" s="217"/>
      <c r="F517" s="217"/>
    </row>
    <row r="518" spans="2:6" x14ac:dyDescent="0.2">
      <c r="B518" s="217"/>
      <c r="C518" s="217"/>
      <c r="D518" s="217"/>
      <c r="E518" s="217"/>
      <c r="F518" s="217"/>
    </row>
    <row r="519" spans="2:6" x14ac:dyDescent="0.2">
      <c r="B519" s="217"/>
      <c r="C519" s="217"/>
      <c r="D519" s="217"/>
      <c r="E519" s="217"/>
      <c r="F519" s="217"/>
    </row>
    <row r="520" spans="2:6" x14ac:dyDescent="0.2">
      <c r="B520" s="217"/>
      <c r="C520" s="217"/>
      <c r="D520" s="217"/>
      <c r="E520" s="217"/>
      <c r="F520" s="217"/>
    </row>
    <row r="521" spans="2:6" x14ac:dyDescent="0.2">
      <c r="B521" s="217"/>
      <c r="C521" s="217"/>
      <c r="D521" s="217"/>
      <c r="E521" s="217"/>
      <c r="F521" s="217"/>
    </row>
    <row r="522" spans="2:6" x14ac:dyDescent="0.2">
      <c r="B522" s="217"/>
      <c r="C522" s="217"/>
      <c r="D522" s="217"/>
      <c r="E522" s="217"/>
      <c r="F522" s="217"/>
    </row>
    <row r="523" spans="2:6" x14ac:dyDescent="0.2">
      <c r="B523" s="217"/>
      <c r="C523" s="217"/>
      <c r="D523" s="217"/>
      <c r="E523" s="217"/>
      <c r="F523" s="217"/>
    </row>
    <row r="524" spans="2:6" x14ac:dyDescent="0.2">
      <c r="B524" s="217"/>
      <c r="C524" s="217"/>
      <c r="D524" s="217"/>
      <c r="E524" s="217"/>
      <c r="F524" s="217"/>
    </row>
    <row r="525" spans="2:6" x14ac:dyDescent="0.2">
      <c r="B525" s="217"/>
      <c r="C525" s="217"/>
      <c r="D525" s="217"/>
      <c r="E525" s="217"/>
      <c r="F525" s="217"/>
    </row>
    <row r="526" spans="2:6" x14ac:dyDescent="0.2">
      <c r="B526" s="217"/>
      <c r="C526" s="217"/>
      <c r="D526" s="217"/>
      <c r="E526" s="217"/>
      <c r="F526" s="217"/>
    </row>
    <row r="527" spans="2:6" x14ac:dyDescent="0.2">
      <c r="B527" s="217"/>
      <c r="C527" s="217"/>
      <c r="D527" s="217"/>
      <c r="E527" s="217"/>
      <c r="F527" s="217"/>
    </row>
    <row r="528" spans="2:6" x14ac:dyDescent="0.2">
      <c r="B528" s="217"/>
      <c r="C528" s="217"/>
      <c r="D528" s="217"/>
      <c r="E528" s="217"/>
      <c r="F528" s="217"/>
    </row>
    <row r="529" spans="2:6" x14ac:dyDescent="0.2">
      <c r="B529" s="217"/>
      <c r="C529" s="217"/>
      <c r="D529" s="217"/>
      <c r="E529" s="217"/>
      <c r="F529" s="217"/>
    </row>
    <row r="530" spans="2:6" x14ac:dyDescent="0.2">
      <c r="B530" s="217"/>
      <c r="C530" s="217"/>
      <c r="D530" s="217"/>
      <c r="E530" s="217"/>
      <c r="F530" s="217"/>
    </row>
    <row r="531" spans="2:6" x14ac:dyDescent="0.2">
      <c r="B531" s="217"/>
      <c r="C531" s="217"/>
      <c r="D531" s="217"/>
      <c r="E531" s="217"/>
      <c r="F531" s="217"/>
    </row>
    <row r="532" spans="2:6" x14ac:dyDescent="0.2">
      <c r="B532" s="217"/>
      <c r="C532" s="217"/>
      <c r="D532" s="217"/>
      <c r="E532" s="217"/>
      <c r="F532" s="217"/>
    </row>
    <row r="533" spans="2:6" x14ac:dyDescent="0.2">
      <c r="B533" s="217"/>
      <c r="C533" s="217"/>
      <c r="D533" s="217"/>
      <c r="E533" s="217"/>
      <c r="F533" s="217"/>
    </row>
    <row r="534" spans="2:6" x14ac:dyDescent="0.2">
      <c r="B534" s="217"/>
      <c r="C534" s="217"/>
      <c r="D534" s="217"/>
      <c r="E534" s="217"/>
      <c r="F534" s="217"/>
    </row>
    <row r="535" spans="2:6" x14ac:dyDescent="0.2">
      <c r="B535" s="217"/>
      <c r="C535" s="217"/>
      <c r="D535" s="217"/>
      <c r="E535" s="217"/>
      <c r="F535" s="217"/>
    </row>
    <row r="536" spans="2:6" x14ac:dyDescent="0.2">
      <c r="B536" s="217"/>
      <c r="C536" s="217"/>
      <c r="D536" s="217"/>
      <c r="E536" s="217"/>
      <c r="F536" s="217"/>
    </row>
    <row r="537" spans="2:6" x14ac:dyDescent="0.2">
      <c r="B537" s="217"/>
      <c r="C537" s="217"/>
      <c r="D537" s="217"/>
      <c r="E537" s="217"/>
      <c r="F537" s="217"/>
    </row>
    <row r="538" spans="2:6" x14ac:dyDescent="0.2">
      <c r="B538" s="217"/>
      <c r="C538" s="217"/>
      <c r="D538" s="217"/>
      <c r="E538" s="217"/>
      <c r="F538" s="217"/>
    </row>
    <row r="539" spans="2:6" x14ac:dyDescent="0.2">
      <c r="B539" s="217"/>
      <c r="C539" s="217"/>
      <c r="D539" s="217"/>
      <c r="E539" s="217"/>
      <c r="F539" s="217"/>
    </row>
    <row r="540" spans="2:6" x14ac:dyDescent="0.2">
      <c r="B540" s="217"/>
      <c r="C540" s="217"/>
      <c r="D540" s="217"/>
      <c r="E540" s="217"/>
      <c r="F540" s="217"/>
    </row>
    <row r="541" spans="2:6" x14ac:dyDescent="0.2">
      <c r="B541" s="217"/>
      <c r="C541" s="217"/>
      <c r="D541" s="217"/>
      <c r="E541" s="217"/>
      <c r="F541" s="217"/>
    </row>
    <row r="542" spans="2:6" x14ac:dyDescent="0.2">
      <c r="B542" s="217"/>
      <c r="C542" s="217"/>
      <c r="D542" s="217"/>
      <c r="E542" s="217"/>
      <c r="F542" s="217"/>
    </row>
    <row r="543" spans="2:6" x14ac:dyDescent="0.2">
      <c r="B543" s="217"/>
      <c r="C543" s="217"/>
      <c r="D543" s="217"/>
      <c r="E543" s="217"/>
      <c r="F543" s="217"/>
    </row>
    <row r="544" spans="2:6" x14ac:dyDescent="0.2">
      <c r="B544" s="217"/>
      <c r="C544" s="217"/>
      <c r="D544" s="217"/>
      <c r="E544" s="217"/>
      <c r="F544" s="217"/>
    </row>
    <row r="545" spans="2:6" x14ac:dyDescent="0.2">
      <c r="B545" s="217"/>
      <c r="C545" s="217"/>
      <c r="D545" s="217"/>
      <c r="E545" s="217"/>
      <c r="F545" s="217"/>
    </row>
    <row r="546" spans="2:6" x14ac:dyDescent="0.2">
      <c r="B546" s="217"/>
      <c r="C546" s="217"/>
      <c r="D546" s="217"/>
      <c r="E546" s="217"/>
      <c r="F546" s="217"/>
    </row>
    <row r="547" spans="2:6" x14ac:dyDescent="0.2">
      <c r="B547" s="217"/>
      <c r="C547" s="217"/>
      <c r="D547" s="217"/>
      <c r="E547" s="217"/>
      <c r="F547" s="217"/>
    </row>
    <row r="548" spans="2:6" x14ac:dyDescent="0.2">
      <c r="B548" s="217"/>
      <c r="C548" s="217"/>
      <c r="D548" s="217"/>
      <c r="E548" s="217"/>
      <c r="F548" s="217"/>
    </row>
    <row r="549" spans="2:6" x14ac:dyDescent="0.2">
      <c r="B549" s="217"/>
      <c r="C549" s="217"/>
      <c r="D549" s="217"/>
      <c r="E549" s="217"/>
      <c r="F549" s="217"/>
    </row>
    <row r="550" spans="2:6" x14ac:dyDescent="0.2">
      <c r="B550" s="217"/>
      <c r="C550" s="217"/>
      <c r="D550" s="217"/>
      <c r="E550" s="217"/>
      <c r="F550" s="217"/>
    </row>
    <row r="551" spans="2:6" x14ac:dyDescent="0.2">
      <c r="B551" s="217"/>
      <c r="C551" s="217"/>
      <c r="D551" s="217"/>
      <c r="E551" s="217"/>
      <c r="F551" s="217"/>
    </row>
    <row r="552" spans="2:6" x14ac:dyDescent="0.2">
      <c r="B552" s="217"/>
      <c r="C552" s="217"/>
      <c r="D552" s="217"/>
      <c r="E552" s="217"/>
      <c r="F552" s="217"/>
    </row>
    <row r="553" spans="2:6" x14ac:dyDescent="0.2">
      <c r="B553" s="217"/>
      <c r="C553" s="217"/>
      <c r="D553" s="217"/>
      <c r="E553" s="217"/>
      <c r="F553" s="217"/>
    </row>
    <row r="554" spans="2:6" x14ac:dyDescent="0.2">
      <c r="B554" s="217"/>
      <c r="C554" s="217"/>
      <c r="D554" s="217"/>
      <c r="E554" s="217"/>
      <c r="F554" s="217"/>
    </row>
    <row r="555" spans="2:6" x14ac:dyDescent="0.2">
      <c r="B555" s="217"/>
      <c r="C555" s="217"/>
      <c r="D555" s="217"/>
      <c r="E555" s="217"/>
      <c r="F555" s="217"/>
    </row>
    <row r="556" spans="2:6" x14ac:dyDescent="0.2">
      <c r="B556" s="217"/>
      <c r="C556" s="217"/>
      <c r="D556" s="217"/>
      <c r="E556" s="217"/>
      <c r="F556" s="217"/>
    </row>
    <row r="557" spans="2:6" x14ac:dyDescent="0.2">
      <c r="B557" s="217"/>
      <c r="C557" s="217"/>
      <c r="D557" s="217"/>
      <c r="E557" s="217"/>
      <c r="F557" s="217"/>
    </row>
    <row r="558" spans="2:6" x14ac:dyDescent="0.2">
      <c r="B558" s="217"/>
      <c r="C558" s="217"/>
      <c r="D558" s="217"/>
      <c r="E558" s="217"/>
      <c r="F558" s="217"/>
    </row>
    <row r="559" spans="2:6" x14ac:dyDescent="0.2">
      <c r="B559" s="217"/>
      <c r="C559" s="217"/>
      <c r="D559" s="217"/>
      <c r="E559" s="217"/>
      <c r="F559" s="217"/>
    </row>
    <row r="560" spans="2:6" x14ac:dyDescent="0.2">
      <c r="B560" s="217"/>
      <c r="C560" s="217"/>
      <c r="D560" s="217"/>
      <c r="E560" s="217"/>
      <c r="F560" s="217"/>
    </row>
    <row r="561" spans="2:6" x14ac:dyDescent="0.2">
      <c r="B561" s="217"/>
      <c r="C561" s="217"/>
      <c r="D561" s="217"/>
      <c r="E561" s="217"/>
      <c r="F561" s="217"/>
    </row>
    <row r="562" spans="2:6" x14ac:dyDescent="0.2">
      <c r="B562" s="217"/>
      <c r="C562" s="217"/>
      <c r="D562" s="217"/>
      <c r="E562" s="217"/>
      <c r="F562" s="217"/>
    </row>
    <row r="563" spans="2:6" x14ac:dyDescent="0.2">
      <c r="B563" s="217"/>
      <c r="C563" s="217"/>
      <c r="D563" s="217"/>
      <c r="E563" s="217"/>
      <c r="F563" s="217"/>
    </row>
    <row r="564" spans="2:6" x14ac:dyDescent="0.2">
      <c r="B564" s="217"/>
      <c r="C564" s="217"/>
      <c r="D564" s="217"/>
      <c r="E564" s="217"/>
      <c r="F564" s="217"/>
    </row>
    <row r="565" spans="2:6" x14ac:dyDescent="0.2">
      <c r="B565" s="217"/>
      <c r="C565" s="217"/>
      <c r="D565" s="217"/>
      <c r="E565" s="217"/>
      <c r="F565" s="217"/>
    </row>
    <row r="566" spans="2:6" x14ac:dyDescent="0.2">
      <c r="B566" s="217"/>
      <c r="C566" s="217"/>
      <c r="D566" s="217"/>
      <c r="E566" s="217"/>
      <c r="F566" s="217"/>
    </row>
    <row r="567" spans="2:6" x14ac:dyDescent="0.2">
      <c r="B567" s="217"/>
      <c r="C567" s="217"/>
      <c r="D567" s="217"/>
      <c r="E567" s="217"/>
      <c r="F567" s="217"/>
    </row>
    <row r="568" spans="2:6" x14ac:dyDescent="0.2">
      <c r="B568" s="217"/>
      <c r="C568" s="217"/>
      <c r="D568" s="217"/>
      <c r="E568" s="217"/>
      <c r="F568" s="217"/>
    </row>
    <row r="569" spans="2:6" x14ac:dyDescent="0.2">
      <c r="B569" s="217"/>
      <c r="C569" s="217"/>
      <c r="D569" s="217"/>
      <c r="E569" s="217"/>
      <c r="F569" s="217"/>
    </row>
    <row r="570" spans="2:6" x14ac:dyDescent="0.2">
      <c r="B570" s="217"/>
      <c r="C570" s="217"/>
      <c r="D570" s="217"/>
      <c r="E570" s="217"/>
      <c r="F570" s="217"/>
    </row>
    <row r="571" spans="2:6" x14ac:dyDescent="0.2">
      <c r="B571" s="217"/>
      <c r="C571" s="217"/>
      <c r="D571" s="217"/>
      <c r="E571" s="217"/>
      <c r="F571" s="217"/>
    </row>
    <row r="572" spans="2:6" x14ac:dyDescent="0.2">
      <c r="B572" s="217"/>
      <c r="C572" s="217"/>
      <c r="D572" s="217"/>
      <c r="E572" s="217"/>
      <c r="F572" s="217"/>
    </row>
    <row r="573" spans="2:6" x14ac:dyDescent="0.2">
      <c r="B573" s="217"/>
      <c r="C573" s="217"/>
      <c r="D573" s="217"/>
      <c r="E573" s="217"/>
      <c r="F573" s="217"/>
    </row>
    <row r="574" spans="2:6" x14ac:dyDescent="0.2">
      <c r="B574" s="217"/>
      <c r="C574" s="217"/>
      <c r="D574" s="217"/>
      <c r="E574" s="217"/>
      <c r="F574" s="217"/>
    </row>
    <row r="575" spans="2:6" x14ac:dyDescent="0.2">
      <c r="B575" s="217"/>
      <c r="C575" s="217"/>
      <c r="D575" s="217"/>
      <c r="E575" s="217"/>
      <c r="F575" s="217"/>
    </row>
    <row r="576" spans="2:6" x14ac:dyDescent="0.2">
      <c r="B576" s="217"/>
      <c r="C576" s="217"/>
      <c r="D576" s="217"/>
      <c r="E576" s="217"/>
      <c r="F576" s="217"/>
    </row>
    <row r="577" spans="2:6" x14ac:dyDescent="0.2">
      <c r="B577" s="217"/>
      <c r="C577" s="217"/>
      <c r="D577" s="217"/>
      <c r="E577" s="217"/>
      <c r="F577" s="217"/>
    </row>
    <row r="578" spans="2:6" x14ac:dyDescent="0.2">
      <c r="B578" s="217"/>
      <c r="C578" s="217"/>
      <c r="D578" s="217"/>
      <c r="E578" s="217"/>
      <c r="F578" s="217"/>
    </row>
    <row r="579" spans="2:6" x14ac:dyDescent="0.2">
      <c r="B579" s="217"/>
      <c r="C579" s="217"/>
      <c r="D579" s="217"/>
      <c r="E579" s="217"/>
      <c r="F579" s="217"/>
    </row>
    <row r="580" spans="2:6" x14ac:dyDescent="0.2">
      <c r="B580" s="217"/>
      <c r="C580" s="217"/>
      <c r="D580" s="217"/>
      <c r="E580" s="217"/>
      <c r="F580" s="217"/>
    </row>
    <row r="581" spans="2:6" x14ac:dyDescent="0.2">
      <c r="B581" s="217"/>
      <c r="C581" s="217"/>
      <c r="D581" s="217"/>
      <c r="E581" s="217"/>
      <c r="F581" s="217"/>
    </row>
    <row r="582" spans="2:6" x14ac:dyDescent="0.2">
      <c r="B582" s="217"/>
      <c r="C582" s="217"/>
      <c r="D582" s="217"/>
      <c r="E582" s="217"/>
      <c r="F582" s="217"/>
    </row>
    <row r="583" spans="2:6" x14ac:dyDescent="0.2">
      <c r="B583" s="217"/>
      <c r="C583" s="217"/>
      <c r="D583" s="217"/>
      <c r="E583" s="217"/>
      <c r="F583" s="217"/>
    </row>
    <row r="584" spans="2:6" x14ac:dyDescent="0.2">
      <c r="B584" s="217"/>
      <c r="C584" s="217"/>
      <c r="D584" s="217"/>
      <c r="E584" s="217"/>
      <c r="F584" s="217"/>
    </row>
    <row r="585" spans="2:6" x14ac:dyDescent="0.2">
      <c r="B585" s="217"/>
      <c r="C585" s="217"/>
      <c r="D585" s="217"/>
      <c r="E585" s="217"/>
      <c r="F585" s="217"/>
    </row>
    <row r="586" spans="2:6" x14ac:dyDescent="0.2">
      <c r="B586" s="217"/>
      <c r="C586" s="217"/>
      <c r="D586" s="217"/>
      <c r="E586" s="217"/>
      <c r="F586" s="217"/>
    </row>
    <row r="587" spans="2:6" x14ac:dyDescent="0.2">
      <c r="B587" s="217"/>
      <c r="C587" s="217"/>
      <c r="D587" s="217"/>
      <c r="E587" s="217"/>
      <c r="F587" s="217"/>
    </row>
    <row r="588" spans="2:6" x14ac:dyDescent="0.2">
      <c r="B588" s="217"/>
      <c r="C588" s="217"/>
      <c r="D588" s="217"/>
      <c r="E588" s="217"/>
      <c r="F588" s="217"/>
    </row>
    <row r="589" spans="2:6" x14ac:dyDescent="0.2">
      <c r="B589" s="217"/>
      <c r="C589" s="217"/>
      <c r="D589" s="217"/>
      <c r="E589" s="217"/>
      <c r="F589" s="217"/>
    </row>
    <row r="590" spans="2:6" x14ac:dyDescent="0.2">
      <c r="B590" s="217"/>
      <c r="C590" s="217"/>
      <c r="D590" s="217"/>
      <c r="E590" s="217"/>
      <c r="F590" s="217"/>
    </row>
  </sheetData>
  <printOptions horizontalCentered="1"/>
  <pageMargins left="0" right="0" top="1.1811023622047245" bottom="0" header="0" footer="0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66"/>
  <sheetViews>
    <sheetView topLeftCell="D138" workbookViewId="0">
      <selection activeCell="A2" sqref="A2"/>
    </sheetView>
  </sheetViews>
  <sheetFormatPr defaultRowHeight="12.75" x14ac:dyDescent="0.2"/>
  <cols>
    <col min="1" max="1" width="1.7109375" style="223" customWidth="1"/>
    <col min="2" max="2" width="24.5703125" style="223" customWidth="1"/>
    <col min="3" max="7" width="13.7109375" style="223" customWidth="1"/>
    <col min="8" max="8" width="13.7109375" style="262" customWidth="1"/>
    <col min="9" max="14" width="13.7109375" style="223" customWidth="1"/>
    <col min="15" max="15" width="17.140625" style="223" customWidth="1"/>
    <col min="16" max="16" width="13.42578125" style="223" bestFit="1" customWidth="1"/>
    <col min="17" max="256" width="9.140625" style="223"/>
    <col min="257" max="257" width="1.7109375" style="223" customWidth="1"/>
    <col min="258" max="258" width="24.5703125" style="223" customWidth="1"/>
    <col min="259" max="270" width="13.7109375" style="223" customWidth="1"/>
    <col min="271" max="271" width="17.140625" style="223" customWidth="1"/>
    <col min="272" max="272" width="13.42578125" style="223" bestFit="1" customWidth="1"/>
    <col min="273" max="512" width="9.140625" style="223"/>
    <col min="513" max="513" width="1.7109375" style="223" customWidth="1"/>
    <col min="514" max="514" width="24.5703125" style="223" customWidth="1"/>
    <col min="515" max="526" width="13.7109375" style="223" customWidth="1"/>
    <col min="527" max="527" width="17.140625" style="223" customWidth="1"/>
    <col min="528" max="528" width="13.42578125" style="223" bestFit="1" customWidth="1"/>
    <col min="529" max="768" width="9.140625" style="223"/>
    <col min="769" max="769" width="1.7109375" style="223" customWidth="1"/>
    <col min="770" max="770" width="24.5703125" style="223" customWidth="1"/>
    <col min="771" max="782" width="13.7109375" style="223" customWidth="1"/>
    <col min="783" max="783" width="17.140625" style="223" customWidth="1"/>
    <col min="784" max="784" width="13.42578125" style="223" bestFit="1" customWidth="1"/>
    <col min="785" max="1024" width="9.140625" style="223"/>
    <col min="1025" max="1025" width="1.7109375" style="223" customWidth="1"/>
    <col min="1026" max="1026" width="24.5703125" style="223" customWidth="1"/>
    <col min="1027" max="1038" width="13.7109375" style="223" customWidth="1"/>
    <col min="1039" max="1039" width="17.140625" style="223" customWidth="1"/>
    <col min="1040" max="1040" width="13.42578125" style="223" bestFit="1" customWidth="1"/>
    <col min="1041" max="1280" width="9.140625" style="223"/>
    <col min="1281" max="1281" width="1.7109375" style="223" customWidth="1"/>
    <col min="1282" max="1282" width="24.5703125" style="223" customWidth="1"/>
    <col min="1283" max="1294" width="13.7109375" style="223" customWidth="1"/>
    <col min="1295" max="1295" width="17.140625" style="223" customWidth="1"/>
    <col min="1296" max="1296" width="13.42578125" style="223" bestFit="1" customWidth="1"/>
    <col min="1297" max="1536" width="9.140625" style="223"/>
    <col min="1537" max="1537" width="1.7109375" style="223" customWidth="1"/>
    <col min="1538" max="1538" width="24.5703125" style="223" customWidth="1"/>
    <col min="1539" max="1550" width="13.7109375" style="223" customWidth="1"/>
    <col min="1551" max="1551" width="17.140625" style="223" customWidth="1"/>
    <col min="1552" max="1552" width="13.42578125" style="223" bestFit="1" customWidth="1"/>
    <col min="1553" max="1792" width="9.140625" style="223"/>
    <col min="1793" max="1793" width="1.7109375" style="223" customWidth="1"/>
    <col min="1794" max="1794" width="24.5703125" style="223" customWidth="1"/>
    <col min="1795" max="1806" width="13.7109375" style="223" customWidth="1"/>
    <col min="1807" max="1807" width="17.140625" style="223" customWidth="1"/>
    <col min="1808" max="1808" width="13.42578125" style="223" bestFit="1" customWidth="1"/>
    <col min="1809" max="2048" width="9.140625" style="223"/>
    <col min="2049" max="2049" width="1.7109375" style="223" customWidth="1"/>
    <col min="2050" max="2050" width="24.5703125" style="223" customWidth="1"/>
    <col min="2051" max="2062" width="13.7109375" style="223" customWidth="1"/>
    <col min="2063" max="2063" width="17.140625" style="223" customWidth="1"/>
    <col min="2064" max="2064" width="13.42578125" style="223" bestFit="1" customWidth="1"/>
    <col min="2065" max="2304" width="9.140625" style="223"/>
    <col min="2305" max="2305" width="1.7109375" style="223" customWidth="1"/>
    <col min="2306" max="2306" width="24.5703125" style="223" customWidth="1"/>
    <col min="2307" max="2318" width="13.7109375" style="223" customWidth="1"/>
    <col min="2319" max="2319" width="17.140625" style="223" customWidth="1"/>
    <col min="2320" max="2320" width="13.42578125" style="223" bestFit="1" customWidth="1"/>
    <col min="2321" max="2560" width="9.140625" style="223"/>
    <col min="2561" max="2561" width="1.7109375" style="223" customWidth="1"/>
    <col min="2562" max="2562" width="24.5703125" style="223" customWidth="1"/>
    <col min="2563" max="2574" width="13.7109375" style="223" customWidth="1"/>
    <col min="2575" max="2575" width="17.140625" style="223" customWidth="1"/>
    <col min="2576" max="2576" width="13.42578125" style="223" bestFit="1" customWidth="1"/>
    <col min="2577" max="2816" width="9.140625" style="223"/>
    <col min="2817" max="2817" width="1.7109375" style="223" customWidth="1"/>
    <col min="2818" max="2818" width="24.5703125" style="223" customWidth="1"/>
    <col min="2819" max="2830" width="13.7109375" style="223" customWidth="1"/>
    <col min="2831" max="2831" width="17.140625" style="223" customWidth="1"/>
    <col min="2832" max="2832" width="13.42578125" style="223" bestFit="1" customWidth="1"/>
    <col min="2833" max="3072" width="9.140625" style="223"/>
    <col min="3073" max="3073" width="1.7109375" style="223" customWidth="1"/>
    <col min="3074" max="3074" width="24.5703125" style="223" customWidth="1"/>
    <col min="3075" max="3086" width="13.7109375" style="223" customWidth="1"/>
    <col min="3087" max="3087" width="17.140625" style="223" customWidth="1"/>
    <col min="3088" max="3088" width="13.42578125" style="223" bestFit="1" customWidth="1"/>
    <col min="3089" max="3328" width="9.140625" style="223"/>
    <col min="3329" max="3329" width="1.7109375" style="223" customWidth="1"/>
    <col min="3330" max="3330" width="24.5703125" style="223" customWidth="1"/>
    <col min="3331" max="3342" width="13.7109375" style="223" customWidth="1"/>
    <col min="3343" max="3343" width="17.140625" style="223" customWidth="1"/>
    <col min="3344" max="3344" width="13.42578125" style="223" bestFit="1" customWidth="1"/>
    <col min="3345" max="3584" width="9.140625" style="223"/>
    <col min="3585" max="3585" width="1.7109375" style="223" customWidth="1"/>
    <col min="3586" max="3586" width="24.5703125" style="223" customWidth="1"/>
    <col min="3587" max="3598" width="13.7109375" style="223" customWidth="1"/>
    <col min="3599" max="3599" width="17.140625" style="223" customWidth="1"/>
    <col min="3600" max="3600" width="13.42578125" style="223" bestFit="1" customWidth="1"/>
    <col min="3601" max="3840" width="9.140625" style="223"/>
    <col min="3841" max="3841" width="1.7109375" style="223" customWidth="1"/>
    <col min="3842" max="3842" width="24.5703125" style="223" customWidth="1"/>
    <col min="3843" max="3854" width="13.7109375" style="223" customWidth="1"/>
    <col min="3855" max="3855" width="17.140625" style="223" customWidth="1"/>
    <col min="3856" max="3856" width="13.42578125" style="223" bestFit="1" customWidth="1"/>
    <col min="3857" max="4096" width="9.140625" style="223"/>
    <col min="4097" max="4097" width="1.7109375" style="223" customWidth="1"/>
    <col min="4098" max="4098" width="24.5703125" style="223" customWidth="1"/>
    <col min="4099" max="4110" width="13.7109375" style="223" customWidth="1"/>
    <col min="4111" max="4111" width="17.140625" style="223" customWidth="1"/>
    <col min="4112" max="4112" width="13.42578125" style="223" bestFit="1" customWidth="1"/>
    <col min="4113" max="4352" width="9.140625" style="223"/>
    <col min="4353" max="4353" width="1.7109375" style="223" customWidth="1"/>
    <col min="4354" max="4354" width="24.5703125" style="223" customWidth="1"/>
    <col min="4355" max="4366" width="13.7109375" style="223" customWidth="1"/>
    <col min="4367" max="4367" width="17.140625" style="223" customWidth="1"/>
    <col min="4368" max="4368" width="13.42578125" style="223" bestFit="1" customWidth="1"/>
    <col min="4369" max="4608" width="9.140625" style="223"/>
    <col min="4609" max="4609" width="1.7109375" style="223" customWidth="1"/>
    <col min="4610" max="4610" width="24.5703125" style="223" customWidth="1"/>
    <col min="4611" max="4622" width="13.7109375" style="223" customWidth="1"/>
    <col min="4623" max="4623" width="17.140625" style="223" customWidth="1"/>
    <col min="4624" max="4624" width="13.42578125" style="223" bestFit="1" customWidth="1"/>
    <col min="4625" max="4864" width="9.140625" style="223"/>
    <col min="4865" max="4865" width="1.7109375" style="223" customWidth="1"/>
    <col min="4866" max="4866" width="24.5703125" style="223" customWidth="1"/>
    <col min="4867" max="4878" width="13.7109375" style="223" customWidth="1"/>
    <col min="4879" max="4879" width="17.140625" style="223" customWidth="1"/>
    <col min="4880" max="4880" width="13.42578125" style="223" bestFit="1" customWidth="1"/>
    <col min="4881" max="5120" width="9.140625" style="223"/>
    <col min="5121" max="5121" width="1.7109375" style="223" customWidth="1"/>
    <col min="5122" max="5122" width="24.5703125" style="223" customWidth="1"/>
    <col min="5123" max="5134" width="13.7109375" style="223" customWidth="1"/>
    <col min="5135" max="5135" width="17.140625" style="223" customWidth="1"/>
    <col min="5136" max="5136" width="13.42578125" style="223" bestFit="1" customWidth="1"/>
    <col min="5137" max="5376" width="9.140625" style="223"/>
    <col min="5377" max="5377" width="1.7109375" style="223" customWidth="1"/>
    <col min="5378" max="5378" width="24.5703125" style="223" customWidth="1"/>
    <col min="5379" max="5390" width="13.7109375" style="223" customWidth="1"/>
    <col min="5391" max="5391" width="17.140625" style="223" customWidth="1"/>
    <col min="5392" max="5392" width="13.42578125" style="223" bestFit="1" customWidth="1"/>
    <col min="5393" max="5632" width="9.140625" style="223"/>
    <col min="5633" max="5633" width="1.7109375" style="223" customWidth="1"/>
    <col min="5634" max="5634" width="24.5703125" style="223" customWidth="1"/>
    <col min="5635" max="5646" width="13.7109375" style="223" customWidth="1"/>
    <col min="5647" max="5647" width="17.140625" style="223" customWidth="1"/>
    <col min="5648" max="5648" width="13.42578125" style="223" bestFit="1" customWidth="1"/>
    <col min="5649" max="5888" width="9.140625" style="223"/>
    <col min="5889" max="5889" width="1.7109375" style="223" customWidth="1"/>
    <col min="5890" max="5890" width="24.5703125" style="223" customWidth="1"/>
    <col min="5891" max="5902" width="13.7109375" style="223" customWidth="1"/>
    <col min="5903" max="5903" width="17.140625" style="223" customWidth="1"/>
    <col min="5904" max="5904" width="13.42578125" style="223" bestFit="1" customWidth="1"/>
    <col min="5905" max="6144" width="9.140625" style="223"/>
    <col min="6145" max="6145" width="1.7109375" style="223" customWidth="1"/>
    <col min="6146" max="6146" width="24.5703125" style="223" customWidth="1"/>
    <col min="6147" max="6158" width="13.7109375" style="223" customWidth="1"/>
    <col min="6159" max="6159" width="17.140625" style="223" customWidth="1"/>
    <col min="6160" max="6160" width="13.42578125" style="223" bestFit="1" customWidth="1"/>
    <col min="6161" max="6400" width="9.140625" style="223"/>
    <col min="6401" max="6401" width="1.7109375" style="223" customWidth="1"/>
    <col min="6402" max="6402" width="24.5703125" style="223" customWidth="1"/>
    <col min="6403" max="6414" width="13.7109375" style="223" customWidth="1"/>
    <col min="6415" max="6415" width="17.140625" style="223" customWidth="1"/>
    <col min="6416" max="6416" width="13.42578125" style="223" bestFit="1" customWidth="1"/>
    <col min="6417" max="6656" width="9.140625" style="223"/>
    <col min="6657" max="6657" width="1.7109375" style="223" customWidth="1"/>
    <col min="6658" max="6658" width="24.5703125" style="223" customWidth="1"/>
    <col min="6659" max="6670" width="13.7109375" style="223" customWidth="1"/>
    <col min="6671" max="6671" width="17.140625" style="223" customWidth="1"/>
    <col min="6672" max="6672" width="13.42578125" style="223" bestFit="1" customWidth="1"/>
    <col min="6673" max="6912" width="9.140625" style="223"/>
    <col min="6913" max="6913" width="1.7109375" style="223" customWidth="1"/>
    <col min="6914" max="6914" width="24.5703125" style="223" customWidth="1"/>
    <col min="6915" max="6926" width="13.7109375" style="223" customWidth="1"/>
    <col min="6927" max="6927" width="17.140625" style="223" customWidth="1"/>
    <col min="6928" max="6928" width="13.42578125" style="223" bestFit="1" customWidth="1"/>
    <col min="6929" max="7168" width="9.140625" style="223"/>
    <col min="7169" max="7169" width="1.7109375" style="223" customWidth="1"/>
    <col min="7170" max="7170" width="24.5703125" style="223" customWidth="1"/>
    <col min="7171" max="7182" width="13.7109375" style="223" customWidth="1"/>
    <col min="7183" max="7183" width="17.140625" style="223" customWidth="1"/>
    <col min="7184" max="7184" width="13.42578125" style="223" bestFit="1" customWidth="1"/>
    <col min="7185" max="7424" width="9.140625" style="223"/>
    <col min="7425" max="7425" width="1.7109375" style="223" customWidth="1"/>
    <col min="7426" max="7426" width="24.5703125" style="223" customWidth="1"/>
    <col min="7427" max="7438" width="13.7109375" style="223" customWidth="1"/>
    <col min="7439" max="7439" width="17.140625" style="223" customWidth="1"/>
    <col min="7440" max="7440" width="13.42578125" style="223" bestFit="1" customWidth="1"/>
    <col min="7441" max="7680" width="9.140625" style="223"/>
    <col min="7681" max="7681" width="1.7109375" style="223" customWidth="1"/>
    <col min="7682" max="7682" width="24.5703125" style="223" customWidth="1"/>
    <col min="7683" max="7694" width="13.7109375" style="223" customWidth="1"/>
    <col min="7695" max="7695" width="17.140625" style="223" customWidth="1"/>
    <col min="7696" max="7696" width="13.42578125" style="223" bestFit="1" customWidth="1"/>
    <col min="7697" max="7936" width="9.140625" style="223"/>
    <col min="7937" max="7937" width="1.7109375" style="223" customWidth="1"/>
    <col min="7938" max="7938" width="24.5703125" style="223" customWidth="1"/>
    <col min="7939" max="7950" width="13.7109375" style="223" customWidth="1"/>
    <col min="7951" max="7951" width="17.140625" style="223" customWidth="1"/>
    <col min="7952" max="7952" width="13.42578125" style="223" bestFit="1" customWidth="1"/>
    <col min="7953" max="8192" width="9.140625" style="223"/>
    <col min="8193" max="8193" width="1.7109375" style="223" customWidth="1"/>
    <col min="8194" max="8194" width="24.5703125" style="223" customWidth="1"/>
    <col min="8195" max="8206" width="13.7109375" style="223" customWidth="1"/>
    <col min="8207" max="8207" width="17.140625" style="223" customWidth="1"/>
    <col min="8208" max="8208" width="13.42578125" style="223" bestFit="1" customWidth="1"/>
    <col min="8209" max="8448" width="9.140625" style="223"/>
    <col min="8449" max="8449" width="1.7109375" style="223" customWidth="1"/>
    <col min="8450" max="8450" width="24.5703125" style="223" customWidth="1"/>
    <col min="8451" max="8462" width="13.7109375" style="223" customWidth="1"/>
    <col min="8463" max="8463" width="17.140625" style="223" customWidth="1"/>
    <col min="8464" max="8464" width="13.42578125" style="223" bestFit="1" customWidth="1"/>
    <col min="8465" max="8704" width="9.140625" style="223"/>
    <col min="8705" max="8705" width="1.7109375" style="223" customWidth="1"/>
    <col min="8706" max="8706" width="24.5703125" style="223" customWidth="1"/>
    <col min="8707" max="8718" width="13.7109375" style="223" customWidth="1"/>
    <col min="8719" max="8719" width="17.140625" style="223" customWidth="1"/>
    <col min="8720" max="8720" width="13.42578125" style="223" bestFit="1" customWidth="1"/>
    <col min="8721" max="8960" width="9.140625" style="223"/>
    <col min="8961" max="8961" width="1.7109375" style="223" customWidth="1"/>
    <col min="8962" max="8962" width="24.5703125" style="223" customWidth="1"/>
    <col min="8963" max="8974" width="13.7109375" style="223" customWidth="1"/>
    <col min="8975" max="8975" width="17.140625" style="223" customWidth="1"/>
    <col min="8976" max="8976" width="13.42578125" style="223" bestFit="1" customWidth="1"/>
    <col min="8977" max="9216" width="9.140625" style="223"/>
    <col min="9217" max="9217" width="1.7109375" style="223" customWidth="1"/>
    <col min="9218" max="9218" width="24.5703125" style="223" customWidth="1"/>
    <col min="9219" max="9230" width="13.7109375" style="223" customWidth="1"/>
    <col min="9231" max="9231" width="17.140625" style="223" customWidth="1"/>
    <col min="9232" max="9232" width="13.42578125" style="223" bestFit="1" customWidth="1"/>
    <col min="9233" max="9472" width="9.140625" style="223"/>
    <col min="9473" max="9473" width="1.7109375" style="223" customWidth="1"/>
    <col min="9474" max="9474" width="24.5703125" style="223" customWidth="1"/>
    <col min="9475" max="9486" width="13.7109375" style="223" customWidth="1"/>
    <col min="9487" max="9487" width="17.140625" style="223" customWidth="1"/>
    <col min="9488" max="9488" width="13.42578125" style="223" bestFit="1" customWidth="1"/>
    <col min="9489" max="9728" width="9.140625" style="223"/>
    <col min="9729" max="9729" width="1.7109375" style="223" customWidth="1"/>
    <col min="9730" max="9730" width="24.5703125" style="223" customWidth="1"/>
    <col min="9731" max="9742" width="13.7109375" style="223" customWidth="1"/>
    <col min="9743" max="9743" width="17.140625" style="223" customWidth="1"/>
    <col min="9744" max="9744" width="13.42578125" style="223" bestFit="1" customWidth="1"/>
    <col min="9745" max="9984" width="9.140625" style="223"/>
    <col min="9985" max="9985" width="1.7109375" style="223" customWidth="1"/>
    <col min="9986" max="9986" width="24.5703125" style="223" customWidth="1"/>
    <col min="9987" max="9998" width="13.7109375" style="223" customWidth="1"/>
    <col min="9999" max="9999" width="17.140625" style="223" customWidth="1"/>
    <col min="10000" max="10000" width="13.42578125" style="223" bestFit="1" customWidth="1"/>
    <col min="10001" max="10240" width="9.140625" style="223"/>
    <col min="10241" max="10241" width="1.7109375" style="223" customWidth="1"/>
    <col min="10242" max="10242" width="24.5703125" style="223" customWidth="1"/>
    <col min="10243" max="10254" width="13.7109375" style="223" customWidth="1"/>
    <col min="10255" max="10255" width="17.140625" style="223" customWidth="1"/>
    <col min="10256" max="10256" width="13.42578125" style="223" bestFit="1" customWidth="1"/>
    <col min="10257" max="10496" width="9.140625" style="223"/>
    <col min="10497" max="10497" width="1.7109375" style="223" customWidth="1"/>
    <col min="10498" max="10498" width="24.5703125" style="223" customWidth="1"/>
    <col min="10499" max="10510" width="13.7109375" style="223" customWidth="1"/>
    <col min="10511" max="10511" width="17.140625" style="223" customWidth="1"/>
    <col min="10512" max="10512" width="13.42578125" style="223" bestFit="1" customWidth="1"/>
    <col min="10513" max="10752" width="9.140625" style="223"/>
    <col min="10753" max="10753" width="1.7109375" style="223" customWidth="1"/>
    <col min="10754" max="10754" width="24.5703125" style="223" customWidth="1"/>
    <col min="10755" max="10766" width="13.7109375" style="223" customWidth="1"/>
    <col min="10767" max="10767" width="17.140625" style="223" customWidth="1"/>
    <col min="10768" max="10768" width="13.42578125" style="223" bestFit="1" customWidth="1"/>
    <col min="10769" max="11008" width="9.140625" style="223"/>
    <col min="11009" max="11009" width="1.7109375" style="223" customWidth="1"/>
    <col min="11010" max="11010" width="24.5703125" style="223" customWidth="1"/>
    <col min="11011" max="11022" width="13.7109375" style="223" customWidth="1"/>
    <col min="11023" max="11023" width="17.140625" style="223" customWidth="1"/>
    <col min="11024" max="11024" width="13.42578125" style="223" bestFit="1" customWidth="1"/>
    <col min="11025" max="11264" width="9.140625" style="223"/>
    <col min="11265" max="11265" width="1.7109375" style="223" customWidth="1"/>
    <col min="11266" max="11266" width="24.5703125" style="223" customWidth="1"/>
    <col min="11267" max="11278" width="13.7109375" style="223" customWidth="1"/>
    <col min="11279" max="11279" width="17.140625" style="223" customWidth="1"/>
    <col min="11280" max="11280" width="13.42578125" style="223" bestFit="1" customWidth="1"/>
    <col min="11281" max="11520" width="9.140625" style="223"/>
    <col min="11521" max="11521" width="1.7109375" style="223" customWidth="1"/>
    <col min="11522" max="11522" width="24.5703125" style="223" customWidth="1"/>
    <col min="11523" max="11534" width="13.7109375" style="223" customWidth="1"/>
    <col min="11535" max="11535" width="17.140625" style="223" customWidth="1"/>
    <col min="11536" max="11536" width="13.42578125" style="223" bestFit="1" customWidth="1"/>
    <col min="11537" max="11776" width="9.140625" style="223"/>
    <col min="11777" max="11777" width="1.7109375" style="223" customWidth="1"/>
    <col min="11778" max="11778" width="24.5703125" style="223" customWidth="1"/>
    <col min="11779" max="11790" width="13.7109375" style="223" customWidth="1"/>
    <col min="11791" max="11791" width="17.140625" style="223" customWidth="1"/>
    <col min="11792" max="11792" width="13.42578125" style="223" bestFit="1" customWidth="1"/>
    <col min="11793" max="12032" width="9.140625" style="223"/>
    <col min="12033" max="12033" width="1.7109375" style="223" customWidth="1"/>
    <col min="12034" max="12034" width="24.5703125" style="223" customWidth="1"/>
    <col min="12035" max="12046" width="13.7109375" style="223" customWidth="1"/>
    <col min="12047" max="12047" width="17.140625" style="223" customWidth="1"/>
    <col min="12048" max="12048" width="13.42578125" style="223" bestFit="1" customWidth="1"/>
    <col min="12049" max="12288" width="9.140625" style="223"/>
    <col min="12289" max="12289" width="1.7109375" style="223" customWidth="1"/>
    <col min="12290" max="12290" width="24.5703125" style="223" customWidth="1"/>
    <col min="12291" max="12302" width="13.7109375" style="223" customWidth="1"/>
    <col min="12303" max="12303" width="17.140625" style="223" customWidth="1"/>
    <col min="12304" max="12304" width="13.42578125" style="223" bestFit="1" customWidth="1"/>
    <col min="12305" max="12544" width="9.140625" style="223"/>
    <col min="12545" max="12545" width="1.7109375" style="223" customWidth="1"/>
    <col min="12546" max="12546" width="24.5703125" style="223" customWidth="1"/>
    <col min="12547" max="12558" width="13.7109375" style="223" customWidth="1"/>
    <col min="12559" max="12559" width="17.140625" style="223" customWidth="1"/>
    <col min="12560" max="12560" width="13.42578125" style="223" bestFit="1" customWidth="1"/>
    <col min="12561" max="12800" width="9.140625" style="223"/>
    <col min="12801" max="12801" width="1.7109375" style="223" customWidth="1"/>
    <col min="12802" max="12802" width="24.5703125" style="223" customWidth="1"/>
    <col min="12803" max="12814" width="13.7109375" style="223" customWidth="1"/>
    <col min="12815" max="12815" width="17.140625" style="223" customWidth="1"/>
    <col min="12816" max="12816" width="13.42578125" style="223" bestFit="1" customWidth="1"/>
    <col min="12817" max="13056" width="9.140625" style="223"/>
    <col min="13057" max="13057" width="1.7109375" style="223" customWidth="1"/>
    <col min="13058" max="13058" width="24.5703125" style="223" customWidth="1"/>
    <col min="13059" max="13070" width="13.7109375" style="223" customWidth="1"/>
    <col min="13071" max="13071" width="17.140625" style="223" customWidth="1"/>
    <col min="13072" max="13072" width="13.42578125" style="223" bestFit="1" customWidth="1"/>
    <col min="13073" max="13312" width="9.140625" style="223"/>
    <col min="13313" max="13313" width="1.7109375" style="223" customWidth="1"/>
    <col min="13314" max="13314" width="24.5703125" style="223" customWidth="1"/>
    <col min="13315" max="13326" width="13.7109375" style="223" customWidth="1"/>
    <col min="13327" max="13327" width="17.140625" style="223" customWidth="1"/>
    <col min="13328" max="13328" width="13.42578125" style="223" bestFit="1" customWidth="1"/>
    <col min="13329" max="13568" width="9.140625" style="223"/>
    <col min="13569" max="13569" width="1.7109375" style="223" customWidth="1"/>
    <col min="13570" max="13570" width="24.5703125" style="223" customWidth="1"/>
    <col min="13571" max="13582" width="13.7109375" style="223" customWidth="1"/>
    <col min="13583" max="13583" width="17.140625" style="223" customWidth="1"/>
    <col min="13584" max="13584" width="13.42578125" style="223" bestFit="1" customWidth="1"/>
    <col min="13585" max="13824" width="9.140625" style="223"/>
    <col min="13825" max="13825" width="1.7109375" style="223" customWidth="1"/>
    <col min="13826" max="13826" width="24.5703125" style="223" customWidth="1"/>
    <col min="13827" max="13838" width="13.7109375" style="223" customWidth="1"/>
    <col min="13839" max="13839" width="17.140625" style="223" customWidth="1"/>
    <col min="13840" max="13840" width="13.42578125" style="223" bestFit="1" customWidth="1"/>
    <col min="13841" max="14080" width="9.140625" style="223"/>
    <col min="14081" max="14081" width="1.7109375" style="223" customWidth="1"/>
    <col min="14082" max="14082" width="24.5703125" style="223" customWidth="1"/>
    <col min="14083" max="14094" width="13.7109375" style="223" customWidth="1"/>
    <col min="14095" max="14095" width="17.140625" style="223" customWidth="1"/>
    <col min="14096" max="14096" width="13.42578125" style="223" bestFit="1" customWidth="1"/>
    <col min="14097" max="14336" width="9.140625" style="223"/>
    <col min="14337" max="14337" width="1.7109375" style="223" customWidth="1"/>
    <col min="14338" max="14338" width="24.5703125" style="223" customWidth="1"/>
    <col min="14339" max="14350" width="13.7109375" style="223" customWidth="1"/>
    <col min="14351" max="14351" width="17.140625" style="223" customWidth="1"/>
    <col min="14352" max="14352" width="13.42578125" style="223" bestFit="1" customWidth="1"/>
    <col min="14353" max="14592" width="9.140625" style="223"/>
    <col min="14593" max="14593" width="1.7109375" style="223" customWidth="1"/>
    <col min="14594" max="14594" width="24.5703125" style="223" customWidth="1"/>
    <col min="14595" max="14606" width="13.7109375" style="223" customWidth="1"/>
    <col min="14607" max="14607" width="17.140625" style="223" customWidth="1"/>
    <col min="14608" max="14608" width="13.42578125" style="223" bestFit="1" customWidth="1"/>
    <col min="14609" max="14848" width="9.140625" style="223"/>
    <col min="14849" max="14849" width="1.7109375" style="223" customWidth="1"/>
    <col min="14850" max="14850" width="24.5703125" style="223" customWidth="1"/>
    <col min="14851" max="14862" width="13.7109375" style="223" customWidth="1"/>
    <col min="14863" max="14863" width="17.140625" style="223" customWidth="1"/>
    <col min="14864" max="14864" width="13.42578125" style="223" bestFit="1" customWidth="1"/>
    <col min="14865" max="15104" width="9.140625" style="223"/>
    <col min="15105" max="15105" width="1.7109375" style="223" customWidth="1"/>
    <col min="15106" max="15106" width="24.5703125" style="223" customWidth="1"/>
    <col min="15107" max="15118" width="13.7109375" style="223" customWidth="1"/>
    <col min="15119" max="15119" width="17.140625" style="223" customWidth="1"/>
    <col min="15120" max="15120" width="13.42578125" style="223" bestFit="1" customWidth="1"/>
    <col min="15121" max="15360" width="9.140625" style="223"/>
    <col min="15361" max="15361" width="1.7109375" style="223" customWidth="1"/>
    <col min="15362" max="15362" width="24.5703125" style="223" customWidth="1"/>
    <col min="15363" max="15374" width="13.7109375" style="223" customWidth="1"/>
    <col min="15375" max="15375" width="17.140625" style="223" customWidth="1"/>
    <col min="15376" max="15376" width="13.42578125" style="223" bestFit="1" customWidth="1"/>
    <col min="15377" max="15616" width="9.140625" style="223"/>
    <col min="15617" max="15617" width="1.7109375" style="223" customWidth="1"/>
    <col min="15618" max="15618" width="24.5703125" style="223" customWidth="1"/>
    <col min="15619" max="15630" width="13.7109375" style="223" customWidth="1"/>
    <col min="15631" max="15631" width="17.140625" style="223" customWidth="1"/>
    <col min="15632" max="15632" width="13.42578125" style="223" bestFit="1" customWidth="1"/>
    <col min="15633" max="15872" width="9.140625" style="223"/>
    <col min="15873" max="15873" width="1.7109375" style="223" customWidth="1"/>
    <col min="15874" max="15874" width="24.5703125" style="223" customWidth="1"/>
    <col min="15875" max="15886" width="13.7109375" style="223" customWidth="1"/>
    <col min="15887" max="15887" width="17.140625" style="223" customWidth="1"/>
    <col min="15888" max="15888" width="13.42578125" style="223" bestFit="1" customWidth="1"/>
    <col min="15889" max="16128" width="9.140625" style="223"/>
    <col min="16129" max="16129" width="1.7109375" style="223" customWidth="1"/>
    <col min="16130" max="16130" width="24.5703125" style="223" customWidth="1"/>
    <col min="16131" max="16142" width="13.7109375" style="223" customWidth="1"/>
    <col min="16143" max="16143" width="17.140625" style="223" customWidth="1"/>
    <col min="16144" max="16144" width="13.42578125" style="223" bestFit="1" customWidth="1"/>
    <col min="16145" max="16384" width="9.140625" style="223"/>
  </cols>
  <sheetData>
    <row r="2" spans="1:14" ht="15.75" x14ac:dyDescent="0.25">
      <c r="A2" s="218"/>
      <c r="B2" s="219" t="s">
        <v>237</v>
      </c>
      <c r="C2" s="220"/>
      <c r="D2" s="220"/>
      <c r="E2" s="220"/>
      <c r="F2" s="220"/>
      <c r="G2" s="220"/>
      <c r="H2" s="221"/>
      <c r="I2" s="222"/>
      <c r="J2" s="222"/>
      <c r="K2" s="222"/>
      <c r="L2" s="222"/>
      <c r="M2" s="222"/>
      <c r="N2" s="222"/>
    </row>
    <row r="3" spans="1:14" ht="15.75" x14ac:dyDescent="0.25">
      <c r="A3" s="218"/>
      <c r="B3" s="219" t="s">
        <v>238</v>
      </c>
      <c r="C3" s="220"/>
      <c r="D3" s="220"/>
      <c r="E3" s="220"/>
      <c r="F3" s="220"/>
      <c r="G3" s="220"/>
      <c r="H3" s="221"/>
      <c r="I3" s="222"/>
      <c r="J3" s="222"/>
      <c r="K3" s="222"/>
      <c r="L3" s="222"/>
      <c r="M3" s="222"/>
      <c r="N3" s="222"/>
    </row>
    <row r="4" spans="1:14" x14ac:dyDescent="0.2">
      <c r="A4" s="218"/>
      <c r="B4" s="224"/>
      <c r="C4" s="225"/>
      <c r="D4" s="225"/>
      <c r="E4" s="225"/>
      <c r="F4" s="225"/>
      <c r="G4" s="225"/>
      <c r="H4" s="226"/>
      <c r="I4" s="225"/>
      <c r="J4" s="225"/>
      <c r="K4" s="225"/>
      <c r="L4" s="225"/>
      <c r="M4" s="225"/>
      <c r="N4" s="225"/>
    </row>
    <row r="5" spans="1:14" x14ac:dyDescent="0.2">
      <c r="A5" s="218"/>
      <c r="B5" s="224"/>
      <c r="C5" s="225"/>
      <c r="D5" s="225"/>
      <c r="E5" s="225"/>
      <c r="F5" s="225"/>
      <c r="G5" s="225"/>
      <c r="H5" s="226"/>
      <c r="I5" s="225"/>
      <c r="J5" s="225"/>
      <c r="K5" s="225"/>
      <c r="L5" s="225"/>
      <c r="M5" s="225"/>
      <c r="N5" s="225"/>
    </row>
    <row r="6" spans="1:14" x14ac:dyDescent="0.2">
      <c r="A6" s="218"/>
      <c r="B6" s="224" t="s">
        <v>239</v>
      </c>
      <c r="C6" s="225"/>
      <c r="D6" s="225"/>
      <c r="E6" s="225"/>
      <c r="F6" s="225"/>
      <c r="G6" s="225"/>
      <c r="H6" s="226"/>
      <c r="I6" s="225"/>
      <c r="J6" s="225"/>
      <c r="K6" s="225"/>
      <c r="L6" s="225"/>
      <c r="M6" s="225"/>
      <c r="N6" s="225"/>
    </row>
    <row r="7" spans="1:14" x14ac:dyDescent="0.2">
      <c r="A7" s="218"/>
      <c r="B7" s="224" t="s">
        <v>240</v>
      </c>
      <c r="C7" s="225"/>
      <c r="D7" s="225"/>
      <c r="E7" s="225"/>
      <c r="F7" s="225"/>
      <c r="G7" s="225"/>
      <c r="H7" s="226"/>
      <c r="I7" s="225"/>
      <c r="J7" s="225"/>
      <c r="K7" s="225"/>
      <c r="L7" s="225"/>
      <c r="M7" s="225"/>
      <c r="N7" s="225"/>
    </row>
    <row r="8" spans="1:14" x14ac:dyDescent="0.2">
      <c r="A8" s="218"/>
      <c r="B8" s="224" t="s">
        <v>241</v>
      </c>
      <c r="C8" s="225"/>
      <c r="D8" s="225"/>
      <c r="E8" s="225"/>
      <c r="F8" s="225"/>
      <c r="G8" s="225"/>
      <c r="H8" s="226"/>
      <c r="I8" s="225"/>
      <c r="J8" s="225"/>
      <c r="K8" s="225"/>
      <c r="L8" s="225"/>
      <c r="M8" s="225"/>
      <c r="N8" s="225"/>
    </row>
    <row r="9" spans="1:14" x14ac:dyDescent="0.2">
      <c r="A9" s="218"/>
      <c r="B9" s="224" t="s">
        <v>242</v>
      </c>
      <c r="C9" s="225"/>
      <c r="D9" s="225"/>
      <c r="E9" s="225"/>
      <c r="F9" s="225"/>
      <c r="G9" s="225"/>
      <c r="H9" s="226"/>
      <c r="I9" s="225"/>
      <c r="J9" s="225"/>
      <c r="K9" s="225"/>
      <c r="L9" s="225"/>
      <c r="M9" s="225"/>
      <c r="N9" s="225"/>
    </row>
    <row r="10" spans="1:14" x14ac:dyDescent="0.2">
      <c r="A10" s="218"/>
      <c r="B10" s="224" t="s">
        <v>243</v>
      </c>
      <c r="C10" s="225"/>
      <c r="D10" s="225"/>
      <c r="E10" s="225"/>
      <c r="F10" s="225"/>
      <c r="G10" s="225"/>
      <c r="H10" s="226"/>
      <c r="I10" s="225"/>
      <c r="J10" s="225"/>
      <c r="K10" s="225"/>
      <c r="L10" s="225"/>
      <c r="M10" s="225"/>
      <c r="N10" s="225"/>
    </row>
    <row r="11" spans="1:14" x14ac:dyDescent="0.2">
      <c r="A11" s="218"/>
      <c r="B11" s="224" t="s">
        <v>244</v>
      </c>
      <c r="C11" s="225"/>
      <c r="D11" s="225"/>
      <c r="E11" s="225"/>
      <c r="F11" s="225"/>
      <c r="G11" s="225"/>
      <c r="H11" s="226"/>
      <c r="I11" s="225"/>
      <c r="J11" s="225"/>
      <c r="K11" s="225"/>
      <c r="L11" s="225"/>
      <c r="M11" s="225"/>
      <c r="N11" s="225"/>
    </row>
    <row r="12" spans="1:14" x14ac:dyDescent="0.2">
      <c r="A12" s="218"/>
      <c r="B12" s="224" t="s">
        <v>245</v>
      </c>
      <c r="C12" s="225"/>
      <c r="D12" s="225"/>
      <c r="E12" s="225"/>
      <c r="F12" s="225"/>
      <c r="G12" s="225"/>
      <c r="H12" s="226"/>
      <c r="I12" s="225"/>
      <c r="J12" s="225"/>
      <c r="K12" s="225"/>
      <c r="L12" s="225"/>
      <c r="M12" s="227"/>
      <c r="N12" s="225"/>
    </row>
    <row r="13" spans="1:14" ht="13.5" thickBot="1" x14ac:dyDescent="0.25">
      <c r="A13" s="218"/>
      <c r="B13" s="225"/>
      <c r="C13" s="225"/>
      <c r="D13" s="225"/>
      <c r="E13" s="225"/>
      <c r="F13" s="225"/>
      <c r="G13" s="225"/>
      <c r="H13" s="226"/>
      <c r="I13" s="225"/>
      <c r="J13" s="225"/>
      <c r="K13" s="225"/>
      <c r="L13" s="225"/>
      <c r="M13" s="225"/>
      <c r="N13" s="228" t="s">
        <v>73</v>
      </c>
    </row>
    <row r="14" spans="1:14" ht="15.75" thickBot="1" x14ac:dyDescent="0.3">
      <c r="A14" s="218"/>
      <c r="B14" s="229" t="s">
        <v>246</v>
      </c>
      <c r="C14" s="230" t="s">
        <v>247</v>
      </c>
      <c r="D14" s="230" t="s">
        <v>248</v>
      </c>
      <c r="E14" s="230" t="s">
        <v>249</v>
      </c>
      <c r="F14" s="230" t="s">
        <v>250</v>
      </c>
      <c r="G14" s="230" t="s">
        <v>251</v>
      </c>
      <c r="H14" s="231" t="s">
        <v>252</v>
      </c>
      <c r="I14" s="230" t="s">
        <v>253</v>
      </c>
      <c r="J14" s="230" t="s">
        <v>254</v>
      </c>
      <c r="K14" s="230" t="s">
        <v>255</v>
      </c>
      <c r="L14" s="230" t="s">
        <v>256</v>
      </c>
      <c r="M14" s="230" t="s">
        <v>257</v>
      </c>
      <c r="N14" s="230" t="s">
        <v>258</v>
      </c>
    </row>
    <row r="15" spans="1:14" x14ac:dyDescent="0.2">
      <c r="A15" s="218"/>
      <c r="B15" s="232" t="s">
        <v>259</v>
      </c>
      <c r="C15" s="233">
        <v>0</v>
      </c>
      <c r="D15" s="233">
        <v>0</v>
      </c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0</v>
      </c>
      <c r="L15" s="233">
        <v>0</v>
      </c>
      <c r="M15" s="233">
        <v>0</v>
      </c>
      <c r="N15" s="233">
        <v>0</v>
      </c>
    </row>
    <row r="16" spans="1:14" x14ac:dyDescent="0.2">
      <c r="A16" s="218"/>
      <c r="B16" s="234" t="s">
        <v>260</v>
      </c>
      <c r="C16" s="235">
        <v>369225</v>
      </c>
      <c r="D16" s="235">
        <v>1477833</v>
      </c>
      <c r="E16" s="235">
        <v>5122377</v>
      </c>
      <c r="F16" s="235">
        <v>1971277</v>
      </c>
      <c r="G16" s="235">
        <v>238404</v>
      </c>
      <c r="H16" s="235">
        <v>206129</v>
      </c>
      <c r="I16" s="235">
        <v>8290</v>
      </c>
      <c r="J16" s="235">
        <v>87710</v>
      </c>
      <c r="K16" s="235">
        <v>2987</v>
      </c>
      <c r="L16" s="235">
        <v>2181462</v>
      </c>
      <c r="M16" s="235">
        <v>209116</v>
      </c>
      <c r="N16" s="236">
        <v>9484232</v>
      </c>
    </row>
    <row r="17" spans="1:15" x14ac:dyDescent="0.2">
      <c r="A17" s="218"/>
      <c r="B17" s="237" t="s">
        <v>261</v>
      </c>
      <c r="C17" s="238">
        <f>328056.78-55.42</f>
        <v>328001.36000000004</v>
      </c>
      <c r="D17" s="238">
        <f>1449855.56+5458.01</f>
        <v>1455313.57</v>
      </c>
      <c r="E17" s="238">
        <v>5171277.8099999996</v>
      </c>
      <c r="F17" s="238">
        <v>1928840.7</v>
      </c>
      <c r="G17" s="238">
        <f>261834.43+10685.4</f>
        <v>272519.83</v>
      </c>
      <c r="H17" s="238">
        <v>145418.17000000001</v>
      </c>
      <c r="I17" s="238">
        <v>20529.48</v>
      </c>
      <c r="J17" s="238">
        <v>164252.46</v>
      </c>
      <c r="K17" s="238">
        <v>2471</v>
      </c>
      <c r="L17" s="238">
        <f>SUM(C17+D17+G17+I17+J17)</f>
        <v>2240616.7000000002</v>
      </c>
      <c r="M17" s="238">
        <f>SUM(H17+K17)</f>
        <v>147889.17000000001</v>
      </c>
      <c r="N17" s="239">
        <f>SUM(C17:K17)</f>
        <v>9488624.3800000008</v>
      </c>
      <c r="O17" s="240"/>
    </row>
    <row r="18" spans="1:15" x14ac:dyDescent="0.2">
      <c r="A18" s="218"/>
      <c r="B18" s="237" t="s">
        <v>262</v>
      </c>
      <c r="C18" s="241">
        <f>SUM(C17/C16)*100</f>
        <v>88.835089714943479</v>
      </c>
      <c r="D18" s="241">
        <f t="shared" ref="D18:N18" si="0">SUM(D17/D16)*100</f>
        <v>98.476185739525377</v>
      </c>
      <c r="E18" s="241">
        <f t="shared" si="0"/>
        <v>100.95465074124765</v>
      </c>
      <c r="F18" s="241">
        <f t="shared" si="0"/>
        <v>97.8472685472412</v>
      </c>
      <c r="G18" s="241">
        <f t="shared" si="0"/>
        <v>114.31009127363636</v>
      </c>
      <c r="H18" s="241">
        <f t="shared" si="0"/>
        <v>70.54716706528437</v>
      </c>
      <c r="I18" s="241">
        <f t="shared" si="0"/>
        <v>247.64149577804582</v>
      </c>
      <c r="J18" s="241">
        <f t="shared" si="0"/>
        <v>187.26765477140577</v>
      </c>
      <c r="K18" s="241">
        <f t="shared" si="0"/>
        <v>82.725142283227314</v>
      </c>
      <c r="L18" s="241">
        <f t="shared" si="0"/>
        <v>102.71169976832053</v>
      </c>
      <c r="M18" s="241">
        <f t="shared" si="0"/>
        <v>70.721116509497122</v>
      </c>
      <c r="N18" s="242">
        <f t="shared" si="0"/>
        <v>100.04631244786084</v>
      </c>
      <c r="O18" s="240"/>
    </row>
    <row r="19" spans="1:15" x14ac:dyDescent="0.2">
      <c r="A19" s="218"/>
      <c r="B19" s="243" t="s">
        <v>263</v>
      </c>
      <c r="C19" s="244">
        <v>0</v>
      </c>
      <c r="D19" s="244">
        <v>0</v>
      </c>
      <c r="E19" s="244">
        <v>0</v>
      </c>
      <c r="F19" s="244">
        <v>0</v>
      </c>
      <c r="G19" s="244">
        <v>0</v>
      </c>
      <c r="H19" s="244">
        <v>0</v>
      </c>
      <c r="I19" s="244">
        <v>0</v>
      </c>
      <c r="J19" s="244">
        <v>0</v>
      </c>
      <c r="K19" s="244">
        <v>0</v>
      </c>
      <c r="L19" s="244">
        <v>0</v>
      </c>
      <c r="M19" s="244">
        <v>0</v>
      </c>
      <c r="N19" s="245">
        <v>0</v>
      </c>
    </row>
    <row r="20" spans="1:15" x14ac:dyDescent="0.2">
      <c r="A20" s="218"/>
      <c r="B20" s="234" t="s">
        <v>260</v>
      </c>
      <c r="C20" s="235">
        <v>134473</v>
      </c>
      <c r="D20" s="235">
        <v>293092</v>
      </c>
      <c r="E20" s="235">
        <v>1551190</v>
      </c>
      <c r="F20" s="235">
        <v>597785</v>
      </c>
      <c r="G20" s="235">
        <v>83293</v>
      </c>
      <c r="H20" s="235">
        <v>64607</v>
      </c>
      <c r="I20" s="235">
        <v>5590</v>
      </c>
      <c r="J20" s="235">
        <v>75794</v>
      </c>
      <c r="K20" s="235">
        <v>1109</v>
      </c>
      <c r="L20" s="235">
        <v>592242</v>
      </c>
      <c r="M20" s="235">
        <v>65716</v>
      </c>
      <c r="N20" s="236">
        <v>2806933</v>
      </c>
    </row>
    <row r="21" spans="1:15" x14ac:dyDescent="0.2">
      <c r="A21" s="218"/>
      <c r="B21" s="237" t="s">
        <v>261</v>
      </c>
      <c r="C21" s="238">
        <f>108520.83-71.68</f>
        <v>108449.15000000001</v>
      </c>
      <c r="D21" s="238">
        <f>248167.24+6414.92</f>
        <v>254582.16</v>
      </c>
      <c r="E21" s="238">
        <v>1619953.41</v>
      </c>
      <c r="F21" s="238">
        <v>607462.57999999996</v>
      </c>
      <c r="G21" s="238">
        <f>81997.37+2330.64</f>
        <v>84328.01</v>
      </c>
      <c r="H21" s="238">
        <v>43540.85</v>
      </c>
      <c r="I21" s="238">
        <v>5404.19</v>
      </c>
      <c r="J21" s="238">
        <v>90207.99</v>
      </c>
      <c r="K21" s="238">
        <v>848.8</v>
      </c>
      <c r="L21" s="238">
        <f>SUM(C21+D21+G21+I21+J21)</f>
        <v>542971.5</v>
      </c>
      <c r="M21" s="238">
        <f>SUM(H21+K21)</f>
        <v>44389.65</v>
      </c>
      <c r="N21" s="239">
        <f>SUM(C21:K21)</f>
        <v>2814777.1399999997</v>
      </c>
    </row>
    <row r="22" spans="1:15" x14ac:dyDescent="0.2">
      <c r="A22" s="218"/>
      <c r="B22" s="246" t="s">
        <v>262</v>
      </c>
      <c r="C22" s="241">
        <f t="shared" ref="C22:N22" si="1">SUM(C21/C20)*100</f>
        <v>80.647527756501319</v>
      </c>
      <c r="D22" s="241">
        <f t="shared" si="1"/>
        <v>86.860835505575039</v>
      </c>
      <c r="E22" s="241">
        <f t="shared" si="1"/>
        <v>104.43294567396644</v>
      </c>
      <c r="F22" s="241">
        <f t="shared" si="1"/>
        <v>101.61890646302601</v>
      </c>
      <c r="G22" s="241">
        <f t="shared" si="1"/>
        <v>101.24261342489764</v>
      </c>
      <c r="H22" s="241">
        <f t="shared" si="1"/>
        <v>67.393393904685254</v>
      </c>
      <c r="I22" s="241">
        <f t="shared" si="1"/>
        <v>96.676028622540244</v>
      </c>
      <c r="J22" s="241">
        <f t="shared" si="1"/>
        <v>119.01732327097132</v>
      </c>
      <c r="K22" s="241">
        <f t="shared" si="1"/>
        <v>76.537421100090171</v>
      </c>
      <c r="L22" s="241">
        <f t="shared" si="1"/>
        <v>91.680681208019692</v>
      </c>
      <c r="M22" s="241">
        <f t="shared" si="1"/>
        <v>67.547705277253641</v>
      </c>
      <c r="N22" s="242">
        <f t="shared" si="1"/>
        <v>100.27945590436251</v>
      </c>
    </row>
    <row r="23" spans="1:15" x14ac:dyDescent="0.2">
      <c r="A23" s="218"/>
      <c r="B23" s="232" t="s">
        <v>264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8"/>
    </row>
    <row r="24" spans="1:15" x14ac:dyDescent="0.2">
      <c r="A24" s="218"/>
      <c r="B24" s="234" t="s">
        <v>260</v>
      </c>
      <c r="C24" s="249">
        <v>101344</v>
      </c>
      <c r="D24" s="249">
        <v>148776</v>
      </c>
      <c r="E24" s="249">
        <v>685176</v>
      </c>
      <c r="F24" s="249">
        <v>264467</v>
      </c>
      <c r="G24" s="249">
        <v>42394</v>
      </c>
      <c r="H24" s="249">
        <v>30202</v>
      </c>
      <c r="I24" s="249">
        <v>6019</v>
      </c>
      <c r="J24" s="249">
        <v>32000</v>
      </c>
      <c r="K24" s="249">
        <v>678</v>
      </c>
      <c r="L24" s="249">
        <v>330533</v>
      </c>
      <c r="M24" s="249">
        <v>30880</v>
      </c>
      <c r="N24" s="250">
        <v>1311056</v>
      </c>
    </row>
    <row r="25" spans="1:15" x14ac:dyDescent="0.2">
      <c r="A25" s="218"/>
      <c r="B25" s="237" t="s">
        <v>261</v>
      </c>
      <c r="C25" s="238">
        <f>81017.01-24.58</f>
        <v>80992.429999999993</v>
      </c>
      <c r="D25" s="238">
        <f>136176.14+30643.57</f>
        <v>166819.71000000002</v>
      </c>
      <c r="E25" s="238">
        <v>707944.2</v>
      </c>
      <c r="F25" s="238">
        <v>269083.92</v>
      </c>
      <c r="G25" s="238">
        <f>37968.02+971</f>
        <v>38939.019999999997</v>
      </c>
      <c r="H25" s="238">
        <v>35713.25</v>
      </c>
      <c r="I25" s="238">
        <v>4496.1099999999997</v>
      </c>
      <c r="J25" s="238">
        <v>34176.379999999997</v>
      </c>
      <c r="K25" s="238">
        <v>634.12</v>
      </c>
      <c r="L25" s="238">
        <f>SUM(C25+D25+G25+I25+J25)</f>
        <v>325423.65000000002</v>
      </c>
      <c r="M25" s="238">
        <f>SUM(H25+K25)</f>
        <v>36347.370000000003</v>
      </c>
      <c r="N25" s="239">
        <f>SUM(C25:K25)</f>
        <v>1338799.1400000001</v>
      </c>
    </row>
    <row r="26" spans="1:15" x14ac:dyDescent="0.2">
      <c r="A26" s="218"/>
      <c r="B26" s="237" t="s">
        <v>262</v>
      </c>
      <c r="C26" s="241">
        <f t="shared" ref="C26:N26" si="2">SUM(C25/C24)*100</f>
        <v>79.918327676034096</v>
      </c>
      <c r="D26" s="241">
        <f t="shared" si="2"/>
        <v>112.12810533957092</v>
      </c>
      <c r="E26" s="241">
        <f t="shared" si="2"/>
        <v>103.32297103226031</v>
      </c>
      <c r="F26" s="241">
        <f t="shared" si="2"/>
        <v>101.74574521584923</v>
      </c>
      <c r="G26" s="241">
        <f t="shared" si="2"/>
        <v>91.850309005991406</v>
      </c>
      <c r="H26" s="241">
        <f t="shared" si="2"/>
        <v>118.24796371101252</v>
      </c>
      <c r="I26" s="241">
        <f t="shared" si="2"/>
        <v>74.698621033394247</v>
      </c>
      <c r="J26" s="241">
        <f t="shared" si="2"/>
        <v>106.80118749999998</v>
      </c>
      <c r="K26" s="241">
        <f t="shared" si="2"/>
        <v>93.52802359882007</v>
      </c>
      <c r="L26" s="241">
        <f t="shared" si="2"/>
        <v>98.454208808197677</v>
      </c>
      <c r="M26" s="241">
        <f t="shared" si="2"/>
        <v>117.70521373056995</v>
      </c>
      <c r="N26" s="242">
        <f t="shared" si="2"/>
        <v>102.11609115095008</v>
      </c>
    </row>
    <row r="27" spans="1:15" x14ac:dyDescent="0.2">
      <c r="A27" s="218"/>
      <c r="B27" s="243" t="s">
        <v>265</v>
      </c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8"/>
    </row>
    <row r="28" spans="1:15" x14ac:dyDescent="0.2">
      <c r="A28" s="218"/>
      <c r="B28" s="234" t="s">
        <v>260</v>
      </c>
      <c r="C28" s="249">
        <v>76658</v>
      </c>
      <c r="D28" s="249">
        <v>247725</v>
      </c>
      <c r="E28" s="249">
        <v>806080</v>
      </c>
      <c r="F28" s="249">
        <v>314071</v>
      </c>
      <c r="G28" s="249">
        <v>48035</v>
      </c>
      <c r="H28" s="249">
        <v>41649</v>
      </c>
      <c r="I28" s="249">
        <v>4746</v>
      </c>
      <c r="J28" s="249">
        <v>33040</v>
      </c>
      <c r="K28" s="249">
        <v>100</v>
      </c>
      <c r="L28" s="249">
        <v>410204</v>
      </c>
      <c r="M28" s="249">
        <v>41749</v>
      </c>
      <c r="N28" s="250">
        <v>1572104</v>
      </c>
    </row>
    <row r="29" spans="1:15" x14ac:dyDescent="0.2">
      <c r="A29" s="218"/>
      <c r="B29" s="237" t="s">
        <v>261</v>
      </c>
      <c r="C29" s="238">
        <f>65280.81+250.17</f>
        <v>65530.979999999996</v>
      </c>
      <c r="D29" s="238">
        <f>236610.81+1678.55</f>
        <v>238289.36</v>
      </c>
      <c r="E29" s="238">
        <v>846065.69</v>
      </c>
      <c r="F29" s="238">
        <v>324583.34999999998</v>
      </c>
      <c r="G29" s="238">
        <f>46830.27+1791</f>
        <v>48621.27</v>
      </c>
      <c r="H29" s="238">
        <v>27631.9</v>
      </c>
      <c r="I29" s="238">
        <v>4743.33</v>
      </c>
      <c r="J29" s="238">
        <v>49437.5</v>
      </c>
      <c r="K29" s="238">
        <v>0</v>
      </c>
      <c r="L29" s="238">
        <f>SUM(C29+D29+G29+I29+J29)</f>
        <v>406622.44</v>
      </c>
      <c r="M29" s="238">
        <f>SUM(H29+K29)</f>
        <v>27631.9</v>
      </c>
      <c r="N29" s="239">
        <f>SUM(C29:K29)</f>
        <v>1604903.38</v>
      </c>
    </row>
    <row r="30" spans="1:15" x14ac:dyDescent="0.2">
      <c r="A30" s="218"/>
      <c r="B30" s="246" t="s">
        <v>262</v>
      </c>
      <c r="C30" s="241">
        <f t="shared" ref="C30:N30" si="3">SUM(C29/C28)*100</f>
        <v>85.484854809674133</v>
      </c>
      <c r="D30" s="241">
        <f t="shared" si="3"/>
        <v>96.191082853971139</v>
      </c>
      <c r="E30" s="241">
        <f t="shared" si="3"/>
        <v>104.96051136363636</v>
      </c>
      <c r="F30" s="241">
        <f t="shared" si="3"/>
        <v>103.34712533153332</v>
      </c>
      <c r="G30" s="241">
        <f t="shared" si="3"/>
        <v>101.22050588112835</v>
      </c>
      <c r="H30" s="241">
        <f t="shared" si="3"/>
        <v>66.344690148623016</v>
      </c>
      <c r="I30" s="241">
        <f t="shared" si="3"/>
        <v>99.943742098609363</v>
      </c>
      <c r="J30" s="241">
        <f t="shared" si="3"/>
        <v>149.62923728813558</v>
      </c>
      <c r="K30" s="241">
        <f t="shared" si="3"/>
        <v>0</v>
      </c>
      <c r="L30" s="241">
        <f t="shared" si="3"/>
        <v>99.126883209330003</v>
      </c>
      <c r="M30" s="241">
        <f t="shared" si="3"/>
        <v>66.185776904836047</v>
      </c>
      <c r="N30" s="242">
        <f t="shared" si="3"/>
        <v>102.08633652735442</v>
      </c>
    </row>
    <row r="31" spans="1:15" x14ac:dyDescent="0.2">
      <c r="A31" s="218"/>
      <c r="B31" s="232" t="s">
        <v>266</v>
      </c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8"/>
    </row>
    <row r="32" spans="1:15" x14ac:dyDescent="0.2">
      <c r="A32" s="218"/>
      <c r="B32" s="234" t="s">
        <v>260</v>
      </c>
      <c r="C32" s="249">
        <v>57853</v>
      </c>
      <c r="D32" s="249">
        <v>279439</v>
      </c>
      <c r="E32" s="249">
        <v>882276</v>
      </c>
      <c r="F32" s="249">
        <v>342639</v>
      </c>
      <c r="G32" s="249">
        <v>48280</v>
      </c>
      <c r="H32" s="249">
        <v>44898</v>
      </c>
      <c r="I32" s="249">
        <v>775</v>
      </c>
      <c r="J32" s="249">
        <v>49500</v>
      </c>
      <c r="K32" s="249"/>
      <c r="L32" s="249">
        <v>435847</v>
      </c>
      <c r="M32" s="249">
        <v>44898</v>
      </c>
      <c r="N32" s="250">
        <v>1705660</v>
      </c>
    </row>
    <row r="33" spans="1:14" x14ac:dyDescent="0.2">
      <c r="A33" s="218"/>
      <c r="B33" s="237" t="s">
        <v>261</v>
      </c>
      <c r="C33" s="238">
        <f>36416.72-80.99</f>
        <v>36335.730000000003</v>
      </c>
      <c r="D33" s="238">
        <f>263438.48+1954.42</f>
        <v>265392.89999999997</v>
      </c>
      <c r="E33" s="238">
        <v>891720.56</v>
      </c>
      <c r="F33" s="238">
        <v>337711.6</v>
      </c>
      <c r="G33" s="238">
        <f>47309.02+1597.05</f>
        <v>48906.07</v>
      </c>
      <c r="H33" s="238">
        <v>36228.15</v>
      </c>
      <c r="I33" s="238">
        <v>846.47</v>
      </c>
      <c r="J33" s="238">
        <v>54634.400000000001</v>
      </c>
      <c r="K33" s="238"/>
      <c r="L33" s="238">
        <f>SUM(C33+D33+G33+I33+J33)</f>
        <v>406115.56999999995</v>
      </c>
      <c r="M33" s="238">
        <f>SUM(H33+K33)</f>
        <v>36228.15</v>
      </c>
      <c r="N33" s="239">
        <f>SUM(C33:K33)</f>
        <v>1671775.88</v>
      </c>
    </row>
    <row r="34" spans="1:14" x14ac:dyDescent="0.2">
      <c r="A34" s="218"/>
      <c r="B34" s="237" t="s">
        <v>262</v>
      </c>
      <c r="C34" s="241">
        <f t="shared" ref="C34:J34" si="4">SUM(C33/C32)*100</f>
        <v>62.806993587195137</v>
      </c>
      <c r="D34" s="241">
        <f t="shared" si="4"/>
        <v>94.9734646917574</v>
      </c>
      <c r="E34" s="241">
        <f t="shared" si="4"/>
        <v>101.07047681224471</v>
      </c>
      <c r="F34" s="241">
        <f t="shared" si="4"/>
        <v>98.561926692524779</v>
      </c>
      <c r="G34" s="241">
        <f t="shared" si="4"/>
        <v>101.29674813587405</v>
      </c>
      <c r="H34" s="241">
        <f t="shared" si="4"/>
        <v>80.689897100093546</v>
      </c>
      <c r="I34" s="241">
        <f t="shared" si="4"/>
        <v>109.22193548387098</v>
      </c>
      <c r="J34" s="241">
        <f t="shared" si="4"/>
        <v>110.37252525252525</v>
      </c>
      <c r="K34" s="241"/>
      <c r="L34" s="241">
        <f>SUM(L33/L32)*100</f>
        <v>93.178470885425384</v>
      </c>
      <c r="M34" s="241">
        <f>SUM(M33/M32)*100</f>
        <v>80.689897100093546</v>
      </c>
      <c r="N34" s="242">
        <f>SUM(N33/N32)*100</f>
        <v>98.013430578192597</v>
      </c>
    </row>
    <row r="35" spans="1:14" x14ac:dyDescent="0.2">
      <c r="A35" s="218"/>
      <c r="B35" s="243" t="s">
        <v>267</v>
      </c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8"/>
    </row>
    <row r="36" spans="1:14" x14ac:dyDescent="0.2">
      <c r="A36" s="218"/>
      <c r="B36" s="234" t="s">
        <v>260</v>
      </c>
      <c r="C36" s="249">
        <v>129906</v>
      </c>
      <c r="D36" s="249">
        <v>268694</v>
      </c>
      <c r="E36" s="249">
        <v>1208052</v>
      </c>
      <c r="F36" s="249">
        <v>463482</v>
      </c>
      <c r="G36" s="249">
        <v>77529</v>
      </c>
      <c r="H36" s="249">
        <v>48126</v>
      </c>
      <c r="I36" s="249">
        <v>6578</v>
      </c>
      <c r="J36" s="249">
        <v>61923</v>
      </c>
      <c r="K36" s="249"/>
      <c r="L36" s="249">
        <v>544630</v>
      </c>
      <c r="M36" s="249">
        <v>48126</v>
      </c>
      <c r="N36" s="250">
        <v>2264290</v>
      </c>
    </row>
    <row r="37" spans="1:14" x14ac:dyDescent="0.2">
      <c r="A37" s="218"/>
      <c r="B37" s="237" t="s">
        <v>261</v>
      </c>
      <c r="C37" s="238">
        <f>102891.1+857.42</f>
        <v>103748.52</v>
      </c>
      <c r="D37" s="238">
        <f>211015.39+1684.69</f>
        <v>212700.08000000002</v>
      </c>
      <c r="E37" s="238">
        <v>1303997.6000000001</v>
      </c>
      <c r="F37" s="238">
        <v>498518.08</v>
      </c>
      <c r="G37" s="238">
        <f>66748.07+2182.61</f>
        <v>68930.680000000008</v>
      </c>
      <c r="H37" s="238">
        <v>60329.38</v>
      </c>
      <c r="I37" s="238">
        <v>6247.41</v>
      </c>
      <c r="J37" s="238">
        <v>69790.98</v>
      </c>
      <c r="K37" s="238"/>
      <c r="L37" s="238">
        <f>SUM(C37+D37+G37+I37+J37)</f>
        <v>461417.67</v>
      </c>
      <c r="M37" s="238">
        <f>SUM(H37+K37)</f>
        <v>60329.38</v>
      </c>
      <c r="N37" s="239">
        <f>SUM(C37:K37)</f>
        <v>2324262.7300000004</v>
      </c>
    </row>
    <row r="38" spans="1:14" x14ac:dyDescent="0.2">
      <c r="A38" s="218"/>
      <c r="B38" s="246" t="s">
        <v>262</v>
      </c>
      <c r="C38" s="241">
        <f t="shared" ref="C38:J38" si="5">SUM(C37/C36)*100</f>
        <v>79.8643018798208</v>
      </c>
      <c r="D38" s="241">
        <f t="shared" si="5"/>
        <v>79.160710696926614</v>
      </c>
      <c r="E38" s="241">
        <f t="shared" si="5"/>
        <v>107.9421746746001</v>
      </c>
      <c r="F38" s="241">
        <f t="shared" si="5"/>
        <v>107.55931837698121</v>
      </c>
      <c r="G38" s="241">
        <f t="shared" si="5"/>
        <v>88.909543525648488</v>
      </c>
      <c r="H38" s="241">
        <f t="shared" si="5"/>
        <v>125.35714582554127</v>
      </c>
      <c r="I38" s="241">
        <f t="shared" si="5"/>
        <v>94.974308300395251</v>
      </c>
      <c r="J38" s="241">
        <f t="shared" si="5"/>
        <v>112.70607044232352</v>
      </c>
      <c r="K38" s="241"/>
      <c r="L38" s="241">
        <f>SUM(L37/L36)*100</f>
        <v>84.721309880102083</v>
      </c>
      <c r="M38" s="241">
        <f>SUM(M37/M36)*100</f>
        <v>125.35714582554127</v>
      </c>
      <c r="N38" s="242">
        <f>SUM(N37/N36)*100</f>
        <v>102.64863290479578</v>
      </c>
    </row>
    <row r="39" spans="1:14" x14ac:dyDescent="0.2">
      <c r="A39" s="218"/>
      <c r="B39" s="232" t="s">
        <v>268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8"/>
    </row>
    <row r="40" spans="1:14" x14ac:dyDescent="0.2">
      <c r="A40" s="218"/>
      <c r="B40" s="234" t="s">
        <v>260</v>
      </c>
      <c r="C40" s="249">
        <v>128302</v>
      </c>
      <c r="D40" s="249">
        <v>193527</v>
      </c>
      <c r="E40" s="249">
        <v>1108477</v>
      </c>
      <c r="F40" s="249">
        <v>425705</v>
      </c>
      <c r="G40" s="249">
        <v>64797</v>
      </c>
      <c r="H40" s="249">
        <v>41501</v>
      </c>
      <c r="I40" s="249">
        <v>24770</v>
      </c>
      <c r="J40" s="249">
        <v>60180</v>
      </c>
      <c r="K40" s="249">
        <v>1290</v>
      </c>
      <c r="L40" s="249">
        <v>471576</v>
      </c>
      <c r="M40" s="249">
        <v>42791</v>
      </c>
      <c r="N40" s="250">
        <v>2048549</v>
      </c>
    </row>
    <row r="41" spans="1:14" x14ac:dyDescent="0.2">
      <c r="A41" s="218"/>
      <c r="B41" s="237" t="s">
        <v>261</v>
      </c>
      <c r="C41" s="238">
        <f>93781.32+60.56</f>
        <v>93841.88</v>
      </c>
      <c r="D41" s="238">
        <f>163476.77+2478.55</f>
        <v>165955.31999999998</v>
      </c>
      <c r="E41" s="238">
        <v>1106690.3999999999</v>
      </c>
      <c r="F41" s="238">
        <v>420384.91</v>
      </c>
      <c r="G41" s="238">
        <f>55638.93+1885.52</f>
        <v>57524.45</v>
      </c>
      <c r="H41" s="238">
        <v>54748.480000000003</v>
      </c>
      <c r="I41" s="238">
        <f>7303.41+150</f>
        <v>7453.41</v>
      </c>
      <c r="J41" s="238">
        <v>60577.120000000003</v>
      </c>
      <c r="K41" s="238">
        <v>913</v>
      </c>
      <c r="L41" s="238">
        <f>SUM(C41+D41+G41+I41+J41)</f>
        <v>385352.17999999993</v>
      </c>
      <c r="M41" s="238">
        <f>SUM(H41+K41)</f>
        <v>55661.48</v>
      </c>
      <c r="N41" s="239">
        <f>SUM(C41:K41)</f>
        <v>1968088.9699999997</v>
      </c>
    </row>
    <row r="42" spans="1:14" x14ac:dyDescent="0.2">
      <c r="A42" s="218"/>
      <c r="B42" s="237" t="s">
        <v>262</v>
      </c>
      <c r="C42" s="241">
        <f t="shared" ref="C42:N42" si="6">SUM(C41/C40)*100</f>
        <v>73.141400757587576</v>
      </c>
      <c r="D42" s="241">
        <f t="shared" si="6"/>
        <v>85.753057712877251</v>
      </c>
      <c r="E42" s="241">
        <f t="shared" si="6"/>
        <v>99.838823899819289</v>
      </c>
      <c r="F42" s="241">
        <f t="shared" si="6"/>
        <v>98.750287170693312</v>
      </c>
      <c r="G42" s="241">
        <f t="shared" si="6"/>
        <v>88.776409401669838</v>
      </c>
      <c r="H42" s="241">
        <f t="shared" si="6"/>
        <v>131.92086937664155</v>
      </c>
      <c r="I42" s="241">
        <f t="shared" si="6"/>
        <v>30.090472345579329</v>
      </c>
      <c r="J42" s="241">
        <f t="shared" si="6"/>
        <v>100.65988700564972</v>
      </c>
      <c r="K42" s="241">
        <f t="shared" si="6"/>
        <v>70.775193798449607</v>
      </c>
      <c r="L42" s="241">
        <f t="shared" si="6"/>
        <v>81.715816750640386</v>
      </c>
      <c r="M42" s="241">
        <f t="shared" si="6"/>
        <v>130.0775396695567</v>
      </c>
      <c r="N42" s="242">
        <f t="shared" si="6"/>
        <v>96.072340471231087</v>
      </c>
    </row>
    <row r="43" spans="1:14" x14ac:dyDescent="0.2">
      <c r="A43" s="218"/>
      <c r="B43" s="243" t="s">
        <v>269</v>
      </c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8"/>
    </row>
    <row r="44" spans="1:14" x14ac:dyDescent="0.2">
      <c r="A44" s="218"/>
      <c r="B44" s="234" t="s">
        <v>260</v>
      </c>
      <c r="C44" s="249">
        <v>61949</v>
      </c>
      <c r="D44" s="249">
        <v>358490</v>
      </c>
      <c r="E44" s="249">
        <v>1012178</v>
      </c>
      <c r="F44" s="249">
        <v>391867</v>
      </c>
      <c r="G44" s="249">
        <v>63630</v>
      </c>
      <c r="H44" s="249">
        <v>54195</v>
      </c>
      <c r="I44" s="249">
        <v>5623</v>
      </c>
      <c r="J44" s="249">
        <v>51758</v>
      </c>
      <c r="K44" s="249"/>
      <c r="L44" s="249">
        <v>541450</v>
      </c>
      <c r="M44" s="249">
        <v>54195</v>
      </c>
      <c r="N44" s="250">
        <v>1999690</v>
      </c>
    </row>
    <row r="45" spans="1:14" x14ac:dyDescent="0.2">
      <c r="A45" s="218"/>
      <c r="B45" s="237" t="s">
        <v>261</v>
      </c>
      <c r="C45" s="238">
        <f>39764.09+714.84</f>
        <v>40478.929999999993</v>
      </c>
      <c r="D45" s="238">
        <f>350825.12+1211.14</f>
        <v>352036.26</v>
      </c>
      <c r="E45" s="238">
        <v>1033008.79</v>
      </c>
      <c r="F45" s="238">
        <v>391103.08</v>
      </c>
      <c r="G45" s="238">
        <f>55823.62+1834</f>
        <v>57657.62</v>
      </c>
      <c r="H45" s="238">
        <v>57285.21</v>
      </c>
      <c r="I45" s="238">
        <v>7068.4</v>
      </c>
      <c r="J45" s="238">
        <v>76685.100000000006</v>
      </c>
      <c r="K45" s="238"/>
      <c r="L45" s="238">
        <f>SUM(C45+D45+G45+I45+J45)</f>
        <v>533926.31000000006</v>
      </c>
      <c r="M45" s="238">
        <f>SUM(H45+K45)</f>
        <v>57285.21</v>
      </c>
      <c r="N45" s="239">
        <f>SUM(C45:K45)</f>
        <v>2015323.3900000001</v>
      </c>
    </row>
    <row r="46" spans="1:14" x14ac:dyDescent="0.2">
      <c r="A46" s="218"/>
      <c r="B46" s="246" t="s">
        <v>262</v>
      </c>
      <c r="C46" s="241">
        <f t="shared" ref="C46:J46" si="7">SUM(C45/C44)*100</f>
        <v>65.342346123424093</v>
      </c>
      <c r="D46" s="241">
        <f t="shared" si="7"/>
        <v>98.199743368015845</v>
      </c>
      <c r="E46" s="241">
        <f t="shared" si="7"/>
        <v>102.05801647536303</v>
      </c>
      <c r="F46" s="241">
        <f t="shared" si="7"/>
        <v>99.805056307369597</v>
      </c>
      <c r="G46" s="241">
        <f t="shared" si="7"/>
        <v>90.613892817853213</v>
      </c>
      <c r="H46" s="241">
        <f t="shared" si="7"/>
        <v>105.70202048159425</v>
      </c>
      <c r="I46" s="241">
        <f t="shared" si="7"/>
        <v>125.70513960519295</v>
      </c>
      <c r="J46" s="241">
        <f t="shared" si="7"/>
        <v>148.1608640210209</v>
      </c>
      <c r="K46" s="241"/>
      <c r="L46" s="241">
        <f>SUM(L45/L44)*100</f>
        <v>98.610455259026693</v>
      </c>
      <c r="M46" s="241">
        <f>SUM(M45/M44)*100</f>
        <v>105.70202048159425</v>
      </c>
      <c r="N46" s="242">
        <f>SUM(N45/N44)*100</f>
        <v>100.78179067755502</v>
      </c>
    </row>
    <row r="47" spans="1:14" x14ac:dyDescent="0.2">
      <c r="A47" s="218"/>
      <c r="B47" s="232" t="s">
        <v>270</v>
      </c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8"/>
    </row>
    <row r="48" spans="1:14" x14ac:dyDescent="0.2">
      <c r="A48" s="218"/>
      <c r="B48" s="234" t="s">
        <v>260</v>
      </c>
      <c r="C48" s="249">
        <v>137798</v>
      </c>
      <c r="D48" s="249">
        <v>174171</v>
      </c>
      <c r="E48" s="249">
        <v>1294018</v>
      </c>
      <c r="F48" s="249">
        <v>495438</v>
      </c>
      <c r="G48" s="249">
        <v>75310</v>
      </c>
      <c r="H48" s="249">
        <v>46738</v>
      </c>
      <c r="I48" s="249">
        <v>2690</v>
      </c>
      <c r="J48" s="249">
        <v>49686</v>
      </c>
      <c r="K48" s="249">
        <v>1070</v>
      </c>
      <c r="L48" s="249">
        <v>439655</v>
      </c>
      <c r="M48" s="249">
        <v>47808</v>
      </c>
      <c r="N48" s="250">
        <v>2276919</v>
      </c>
    </row>
    <row r="49" spans="1:14" x14ac:dyDescent="0.2">
      <c r="A49" s="218"/>
      <c r="B49" s="237" t="s">
        <v>261</v>
      </c>
      <c r="C49" s="238">
        <f>102108.29+606.08</f>
        <v>102714.37</v>
      </c>
      <c r="D49" s="238">
        <f>145967.92+3920.86</f>
        <v>149888.78</v>
      </c>
      <c r="E49" s="238">
        <v>1315186.95</v>
      </c>
      <c r="F49" s="238">
        <v>500513.55</v>
      </c>
      <c r="G49" s="238">
        <f>72146.24+3097.2</f>
        <v>75243.44</v>
      </c>
      <c r="H49" s="238">
        <v>44609.120000000003</v>
      </c>
      <c r="I49" s="238">
        <v>12508.31</v>
      </c>
      <c r="J49" s="238">
        <v>60035.74</v>
      </c>
      <c r="K49" s="238">
        <v>952.84</v>
      </c>
      <c r="L49" s="238">
        <f>SUM(C49+D49+G49+I49+J49)</f>
        <v>400390.63999999996</v>
      </c>
      <c r="M49" s="238">
        <f>SUM(H49+K49)</f>
        <v>45561.96</v>
      </c>
      <c r="N49" s="239">
        <f>SUM(C49:K49)</f>
        <v>2261653.1</v>
      </c>
    </row>
    <row r="50" spans="1:14" x14ac:dyDescent="0.2">
      <c r="A50" s="218"/>
      <c r="B50" s="237" t="s">
        <v>262</v>
      </c>
      <c r="C50" s="241">
        <f t="shared" ref="C50:N50" si="8">SUM(C49/C48)*100</f>
        <v>74.539811898576176</v>
      </c>
      <c r="D50" s="241">
        <f t="shared" si="8"/>
        <v>86.058402374677755</v>
      </c>
      <c r="E50" s="241">
        <f t="shared" si="8"/>
        <v>101.63590846495181</v>
      </c>
      <c r="F50" s="241">
        <f t="shared" si="8"/>
        <v>101.02445714700931</v>
      </c>
      <c r="G50" s="241">
        <f t="shared" si="8"/>
        <v>99.911618642942514</v>
      </c>
      <c r="H50" s="241">
        <f t="shared" si="8"/>
        <v>95.445076811160092</v>
      </c>
      <c r="I50" s="241">
        <f t="shared" si="8"/>
        <v>464.99293680297393</v>
      </c>
      <c r="J50" s="241">
        <f t="shared" si="8"/>
        <v>120.83029424787665</v>
      </c>
      <c r="K50" s="241">
        <f t="shared" si="8"/>
        <v>89.05046728971962</v>
      </c>
      <c r="L50" s="241">
        <f t="shared" si="8"/>
        <v>91.069279321286004</v>
      </c>
      <c r="M50" s="241">
        <f t="shared" si="8"/>
        <v>95.301957831325296</v>
      </c>
      <c r="N50" s="242">
        <f t="shared" si="8"/>
        <v>99.329536975184453</v>
      </c>
    </row>
    <row r="51" spans="1:14" x14ac:dyDescent="0.2">
      <c r="A51" s="218"/>
      <c r="B51" s="243" t="s">
        <v>271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8"/>
    </row>
    <row r="52" spans="1:14" x14ac:dyDescent="0.2">
      <c r="A52" s="218"/>
      <c r="B52" s="234" t="s">
        <v>260</v>
      </c>
      <c r="C52" s="249">
        <v>74955</v>
      </c>
      <c r="D52" s="249">
        <v>128720</v>
      </c>
      <c r="E52" s="249">
        <v>693975</v>
      </c>
      <c r="F52" s="249">
        <v>265410</v>
      </c>
      <c r="G52" s="249">
        <v>42399</v>
      </c>
      <c r="H52" s="249">
        <v>23932</v>
      </c>
      <c r="I52" s="249">
        <v>1774</v>
      </c>
      <c r="J52" s="249">
        <v>31000</v>
      </c>
      <c r="K52" s="249">
        <v>250</v>
      </c>
      <c r="L52" s="249">
        <v>278848</v>
      </c>
      <c r="M52" s="249">
        <v>24182</v>
      </c>
      <c r="N52" s="250">
        <v>1262415</v>
      </c>
    </row>
    <row r="53" spans="1:14" x14ac:dyDescent="0.2">
      <c r="A53" s="218"/>
      <c r="B53" s="237" t="s">
        <v>261</v>
      </c>
      <c r="C53" s="238">
        <f>55287.62+23.32</f>
        <v>55310.94</v>
      </c>
      <c r="D53" s="238">
        <f>95505.99+271.25</f>
        <v>95777.24</v>
      </c>
      <c r="E53" s="238">
        <v>688751.24</v>
      </c>
      <c r="F53" s="238">
        <v>259466.85</v>
      </c>
      <c r="G53" s="238">
        <f>37913.33+1362</f>
        <v>39275.33</v>
      </c>
      <c r="H53" s="238">
        <v>43597.66</v>
      </c>
      <c r="I53" s="238">
        <v>1225.05</v>
      </c>
      <c r="J53" s="238">
        <v>23695.62</v>
      </c>
      <c r="K53" s="238">
        <v>0</v>
      </c>
      <c r="L53" s="238">
        <f>SUM(C53+D53+G53+I53+J53)</f>
        <v>215284.18</v>
      </c>
      <c r="M53" s="238">
        <f>SUM(H53+K53)</f>
        <v>43597.66</v>
      </c>
      <c r="N53" s="239">
        <f>SUM(C53:K53)</f>
        <v>1207099.9300000002</v>
      </c>
    </row>
    <row r="54" spans="1:14" x14ac:dyDescent="0.2">
      <c r="A54" s="218"/>
      <c r="B54" s="246" t="s">
        <v>262</v>
      </c>
      <c r="C54" s="241">
        <f t="shared" ref="C54:N54" si="9">SUM(C53/C52)*100</f>
        <v>73.792195317190306</v>
      </c>
      <c r="D54" s="241">
        <f t="shared" si="9"/>
        <v>74.407426973275321</v>
      </c>
      <c r="E54" s="241">
        <f t="shared" si="9"/>
        <v>99.247269714326876</v>
      </c>
      <c r="F54" s="241">
        <f t="shared" si="9"/>
        <v>97.760766361478474</v>
      </c>
      <c r="G54" s="241">
        <f t="shared" si="9"/>
        <v>92.632680016038123</v>
      </c>
      <c r="H54" s="241">
        <f t="shared" si="9"/>
        <v>182.17307370884171</v>
      </c>
      <c r="I54" s="241">
        <f t="shared" si="9"/>
        <v>69.055806087936872</v>
      </c>
      <c r="J54" s="241">
        <f t="shared" si="9"/>
        <v>76.437483870967739</v>
      </c>
      <c r="K54" s="241">
        <f t="shared" si="9"/>
        <v>0</v>
      </c>
      <c r="L54" s="241">
        <f t="shared" si="9"/>
        <v>77.204849954096858</v>
      </c>
      <c r="M54" s="241">
        <f t="shared" si="9"/>
        <v>180.28971962616825</v>
      </c>
      <c r="N54" s="242">
        <f t="shared" si="9"/>
        <v>95.618313312183417</v>
      </c>
    </row>
    <row r="55" spans="1:14" x14ac:dyDescent="0.2">
      <c r="A55" s="218"/>
      <c r="B55" s="232" t="s">
        <v>272</v>
      </c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8"/>
    </row>
    <row r="56" spans="1:14" x14ac:dyDescent="0.2">
      <c r="A56" s="218"/>
      <c r="B56" s="234" t="s">
        <v>260</v>
      </c>
      <c r="C56" s="249">
        <v>58889</v>
      </c>
      <c r="D56" s="249">
        <v>199828</v>
      </c>
      <c r="E56" s="249">
        <v>731889</v>
      </c>
      <c r="F56" s="249">
        <v>284841</v>
      </c>
      <c r="G56" s="249">
        <v>42887</v>
      </c>
      <c r="H56" s="249">
        <v>39615</v>
      </c>
      <c r="I56" s="249">
        <v>1254</v>
      </c>
      <c r="J56" s="249">
        <v>39325</v>
      </c>
      <c r="K56" s="249">
        <v>200</v>
      </c>
      <c r="L56" s="249">
        <v>342183</v>
      </c>
      <c r="M56" s="249">
        <v>39815</v>
      </c>
      <c r="N56" s="250">
        <v>1398728</v>
      </c>
    </row>
    <row r="57" spans="1:14" x14ac:dyDescent="0.2">
      <c r="A57" s="218"/>
      <c r="B57" s="237" t="s">
        <v>261</v>
      </c>
      <c r="C57" s="238">
        <f>39921.71+21.61</f>
        <v>39943.32</v>
      </c>
      <c r="D57" s="238">
        <f>187771.28+513.78</f>
        <v>188285.06</v>
      </c>
      <c r="E57" s="238">
        <v>783664.63</v>
      </c>
      <c r="F57" s="238">
        <v>300217.09000000003</v>
      </c>
      <c r="G57" s="238">
        <f>40949.06+1447.33</f>
        <v>42396.39</v>
      </c>
      <c r="H57" s="238">
        <v>24165.119999999999</v>
      </c>
      <c r="I57" s="238">
        <v>1079.3900000000001</v>
      </c>
      <c r="J57" s="238">
        <v>42440.05</v>
      </c>
      <c r="K57" s="238">
        <v>18.7</v>
      </c>
      <c r="L57" s="238">
        <f>SUM(C57+D57+G57+I57+J57)</f>
        <v>314144.21000000002</v>
      </c>
      <c r="M57" s="238">
        <f>SUM(H57+K57)</f>
        <v>24183.82</v>
      </c>
      <c r="N57" s="239">
        <f>SUM(C57:K57)</f>
        <v>1422209.75</v>
      </c>
    </row>
    <row r="58" spans="1:14" x14ac:dyDescent="0.2">
      <c r="A58" s="218"/>
      <c r="B58" s="237" t="s">
        <v>262</v>
      </c>
      <c r="C58" s="241">
        <f t="shared" ref="C58:N58" si="10">SUM(C57/C56)*100</f>
        <v>67.828151267639115</v>
      </c>
      <c r="D58" s="241">
        <f t="shared" si="10"/>
        <v>94.22356226354664</v>
      </c>
      <c r="E58" s="241">
        <f t="shared" si="10"/>
        <v>107.07424623132742</v>
      </c>
      <c r="F58" s="241">
        <f t="shared" si="10"/>
        <v>105.3981308870563</v>
      </c>
      <c r="G58" s="241">
        <f t="shared" si="10"/>
        <v>98.856040291929958</v>
      </c>
      <c r="H58" s="241">
        <f t="shared" si="10"/>
        <v>60.999924271109428</v>
      </c>
      <c r="I58" s="241">
        <f t="shared" si="10"/>
        <v>86.075757575757578</v>
      </c>
      <c r="J58" s="241">
        <f t="shared" si="10"/>
        <v>107.92129688493326</v>
      </c>
      <c r="K58" s="241">
        <f t="shared" si="10"/>
        <v>9.35</v>
      </c>
      <c r="L58" s="241">
        <f t="shared" si="10"/>
        <v>91.805907949839721</v>
      </c>
      <c r="M58" s="241">
        <f t="shared" si="10"/>
        <v>60.740474695466531</v>
      </c>
      <c r="N58" s="242">
        <f t="shared" si="10"/>
        <v>101.6787931606431</v>
      </c>
    </row>
    <row r="59" spans="1:14" x14ac:dyDescent="0.2">
      <c r="A59" s="218"/>
      <c r="B59" s="243" t="s">
        <v>273</v>
      </c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8"/>
    </row>
    <row r="60" spans="1:14" x14ac:dyDescent="0.2">
      <c r="A60" s="218"/>
      <c r="B60" s="234" t="s">
        <v>260</v>
      </c>
      <c r="C60" s="249">
        <v>101942</v>
      </c>
      <c r="D60" s="249">
        <v>145972</v>
      </c>
      <c r="E60" s="249">
        <v>815167</v>
      </c>
      <c r="F60" s="249">
        <v>318251</v>
      </c>
      <c r="G60" s="249">
        <v>49676</v>
      </c>
      <c r="H60" s="249">
        <v>47110</v>
      </c>
      <c r="I60" s="249">
        <v>2798</v>
      </c>
      <c r="J60" s="249">
        <v>31872</v>
      </c>
      <c r="K60" s="249"/>
      <c r="L60" s="249">
        <v>332260</v>
      </c>
      <c r="M60" s="249">
        <v>47110</v>
      </c>
      <c r="N60" s="250">
        <v>1512788</v>
      </c>
    </row>
    <row r="61" spans="1:14" x14ac:dyDescent="0.2">
      <c r="A61" s="218"/>
      <c r="B61" s="237" t="s">
        <v>261</v>
      </c>
      <c r="C61" s="238">
        <f>77128.62-94.41</f>
        <v>77034.209999999992</v>
      </c>
      <c r="D61" s="238">
        <f>117113.43+931.29</f>
        <v>118044.71999999999</v>
      </c>
      <c r="E61" s="238">
        <v>805389.49</v>
      </c>
      <c r="F61" s="238">
        <v>303553.21999999997</v>
      </c>
      <c r="G61" s="238">
        <f>43344.79+1404.3</f>
        <v>44749.090000000004</v>
      </c>
      <c r="H61" s="238">
        <v>34254.39</v>
      </c>
      <c r="I61" s="238">
        <v>2736.54</v>
      </c>
      <c r="J61" s="238">
        <v>28260.94</v>
      </c>
      <c r="K61" s="238">
        <v>23.8</v>
      </c>
      <c r="L61" s="238">
        <f>SUM(C61+D61+G61+I61+J61)</f>
        <v>270825.5</v>
      </c>
      <c r="M61" s="238">
        <f>SUM(H61+K61)</f>
        <v>34278.19</v>
      </c>
      <c r="N61" s="239">
        <f>SUM(C61:K61)</f>
        <v>1414046.4</v>
      </c>
    </row>
    <row r="62" spans="1:14" x14ac:dyDescent="0.2">
      <c r="A62" s="218"/>
      <c r="B62" s="246" t="s">
        <v>262</v>
      </c>
      <c r="C62" s="241">
        <f t="shared" ref="C62:J62" si="11">SUM(C61/C60)*100</f>
        <v>75.566704596731469</v>
      </c>
      <c r="D62" s="241">
        <f t="shared" si="11"/>
        <v>80.868056887622274</v>
      </c>
      <c r="E62" s="241">
        <f t="shared" si="11"/>
        <v>98.800551298077565</v>
      </c>
      <c r="F62" s="241">
        <f t="shared" si="11"/>
        <v>95.381701864251795</v>
      </c>
      <c r="G62" s="241">
        <f t="shared" si="11"/>
        <v>90.081910781866497</v>
      </c>
      <c r="H62" s="241">
        <f t="shared" si="11"/>
        <v>72.711504988325188</v>
      </c>
      <c r="I62" s="241">
        <f t="shared" si="11"/>
        <v>97.803431022158676</v>
      </c>
      <c r="J62" s="241">
        <f t="shared" si="11"/>
        <v>88.670117971887535</v>
      </c>
      <c r="K62" s="241"/>
      <c r="L62" s="241">
        <f>SUM(L61/L60)*100</f>
        <v>81.510112562451098</v>
      </c>
      <c r="M62" s="241">
        <f>SUM(M61/M60)*100</f>
        <v>72.762025047760574</v>
      </c>
      <c r="N62" s="242">
        <f>SUM(N61/N60)*100</f>
        <v>93.47287260343154</v>
      </c>
    </row>
    <row r="63" spans="1:14" x14ac:dyDescent="0.2">
      <c r="A63" s="218"/>
      <c r="B63" s="232" t="s">
        <v>274</v>
      </c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8"/>
    </row>
    <row r="64" spans="1:14" x14ac:dyDescent="0.2">
      <c r="A64" s="218"/>
      <c r="B64" s="234" t="s">
        <v>260</v>
      </c>
      <c r="C64" s="249">
        <v>114081</v>
      </c>
      <c r="D64" s="249">
        <v>192811</v>
      </c>
      <c r="E64" s="249">
        <v>951320</v>
      </c>
      <c r="F64" s="249">
        <v>371175</v>
      </c>
      <c r="G64" s="249">
        <v>54860</v>
      </c>
      <c r="H64" s="249">
        <v>53175</v>
      </c>
      <c r="I64" s="249">
        <v>4300</v>
      </c>
      <c r="J64" s="249">
        <v>45785</v>
      </c>
      <c r="K64" s="249"/>
      <c r="L64" s="249">
        <v>411837</v>
      </c>
      <c r="M64" s="249">
        <v>53175</v>
      </c>
      <c r="N64" s="250">
        <v>1787507</v>
      </c>
    </row>
    <row r="65" spans="1:14" x14ac:dyDescent="0.2">
      <c r="A65" s="218"/>
      <c r="B65" s="237" t="s">
        <v>261</v>
      </c>
      <c r="C65" s="238">
        <f>98468.9+16.37</f>
        <v>98485.26999999999</v>
      </c>
      <c r="D65" s="238">
        <f>164434.54+1651.25</f>
        <v>166085.79</v>
      </c>
      <c r="E65" s="238">
        <v>976686.15</v>
      </c>
      <c r="F65" s="238">
        <v>372314.31</v>
      </c>
      <c r="G65" s="238">
        <f>49576.18+1947.12</f>
        <v>51523.3</v>
      </c>
      <c r="H65" s="238">
        <v>36462.800000000003</v>
      </c>
      <c r="I65" s="238">
        <v>4437.49</v>
      </c>
      <c r="J65" s="238">
        <v>65015.63</v>
      </c>
      <c r="K65" s="238"/>
      <c r="L65" s="238">
        <f>SUM(C65+D65+G65+I65+J65)</f>
        <v>385547.48</v>
      </c>
      <c r="M65" s="238">
        <f>SUM(H65+K65)</f>
        <v>36462.800000000003</v>
      </c>
      <c r="N65" s="239">
        <f>SUM(C65:K65)</f>
        <v>1771010.74</v>
      </c>
    </row>
    <row r="66" spans="1:14" x14ac:dyDescent="0.2">
      <c r="A66" s="218"/>
      <c r="B66" s="237" t="s">
        <v>262</v>
      </c>
      <c r="C66" s="241">
        <f t="shared" ref="C66:J66" si="12">SUM(C65/C64)*100</f>
        <v>86.329248516405002</v>
      </c>
      <c r="D66" s="241">
        <f t="shared" si="12"/>
        <v>86.139167371156205</v>
      </c>
      <c r="E66" s="241">
        <f t="shared" si="12"/>
        <v>102.66641613757726</v>
      </c>
      <c r="F66" s="241">
        <f t="shared" si="12"/>
        <v>100.30694685795109</v>
      </c>
      <c r="G66" s="241">
        <f t="shared" si="12"/>
        <v>93.917790740065627</v>
      </c>
      <c r="H66" s="241">
        <f t="shared" si="12"/>
        <v>68.571321109543959</v>
      </c>
      <c r="I66" s="241">
        <f t="shared" si="12"/>
        <v>103.1974418604651</v>
      </c>
      <c r="J66" s="241">
        <f t="shared" si="12"/>
        <v>142.00203123293656</v>
      </c>
      <c r="K66" s="241"/>
      <c r="L66" s="241">
        <f>SUM(L65/L64)*100</f>
        <v>93.61652304188307</v>
      </c>
      <c r="M66" s="241">
        <f>SUM(M65/M64)*100</f>
        <v>68.571321109543959</v>
      </c>
      <c r="N66" s="242">
        <f>SUM(N65/N64)*100</f>
        <v>99.077135921705491</v>
      </c>
    </row>
    <row r="67" spans="1:14" x14ac:dyDescent="0.2">
      <c r="A67" s="218"/>
      <c r="B67" s="243" t="s">
        <v>275</v>
      </c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8"/>
    </row>
    <row r="68" spans="1:14" x14ac:dyDescent="0.2">
      <c r="A68" s="218"/>
      <c r="B68" s="234" t="s">
        <v>260</v>
      </c>
      <c r="C68" s="249">
        <v>139636</v>
      </c>
      <c r="D68" s="249">
        <v>251400</v>
      </c>
      <c r="E68" s="249">
        <v>1234524</v>
      </c>
      <c r="F68" s="249">
        <v>470222</v>
      </c>
      <c r="G68" s="249">
        <v>76563</v>
      </c>
      <c r="H68" s="249">
        <v>37590</v>
      </c>
      <c r="I68" s="249">
        <v>12797</v>
      </c>
      <c r="J68" s="249">
        <v>71919</v>
      </c>
      <c r="K68" s="249">
        <v>1000</v>
      </c>
      <c r="L68" s="249">
        <v>552315</v>
      </c>
      <c r="M68" s="249">
        <v>38590</v>
      </c>
      <c r="N68" s="250">
        <v>2295651</v>
      </c>
    </row>
    <row r="69" spans="1:14" x14ac:dyDescent="0.2">
      <c r="A69" s="218"/>
      <c r="B69" s="237" t="s">
        <v>261</v>
      </c>
      <c r="C69" s="238">
        <f>113000.09+54.61</f>
        <v>113054.7</v>
      </c>
      <c r="D69" s="238">
        <f>207007.12+40.8</f>
        <v>207047.91999999998</v>
      </c>
      <c r="E69" s="238">
        <v>1309004.52</v>
      </c>
      <c r="F69" s="238">
        <v>493510.49</v>
      </c>
      <c r="G69" s="238">
        <f>71286.93+1843.5</f>
        <v>73130.429999999993</v>
      </c>
      <c r="H69" s="238">
        <v>41896.31</v>
      </c>
      <c r="I69" s="238">
        <v>7248.38</v>
      </c>
      <c r="J69" s="238">
        <v>70633.87</v>
      </c>
      <c r="K69" s="238">
        <v>942.88</v>
      </c>
      <c r="L69" s="238">
        <f>SUM(C69+D69+G69+I69+J69)</f>
        <v>471115.3</v>
      </c>
      <c r="M69" s="238">
        <f>SUM(H69+K69)</f>
        <v>42839.189999999995</v>
      </c>
      <c r="N69" s="239">
        <f>SUM(C69:K69)</f>
        <v>2316469.5</v>
      </c>
    </row>
    <row r="70" spans="1:14" x14ac:dyDescent="0.2">
      <c r="A70" s="218"/>
      <c r="B70" s="246" t="s">
        <v>262</v>
      </c>
      <c r="C70" s="241">
        <f t="shared" ref="C70:N70" si="13">SUM(C69/C68)*100</f>
        <v>80.963863187143716</v>
      </c>
      <c r="D70" s="241">
        <f t="shared" si="13"/>
        <v>82.357963404932377</v>
      </c>
      <c r="E70" s="241">
        <f t="shared" si="13"/>
        <v>106.03313665833957</v>
      </c>
      <c r="F70" s="241">
        <f t="shared" si="13"/>
        <v>104.95265853150212</v>
      </c>
      <c r="G70" s="241">
        <f t="shared" si="13"/>
        <v>95.516672544179286</v>
      </c>
      <c r="H70" s="241">
        <f t="shared" si="13"/>
        <v>111.45599893588721</v>
      </c>
      <c r="I70" s="241">
        <f t="shared" si="13"/>
        <v>56.64124404157225</v>
      </c>
      <c r="J70" s="241">
        <f t="shared" si="13"/>
        <v>98.213086945035371</v>
      </c>
      <c r="K70" s="241">
        <f t="shared" si="13"/>
        <v>94.287999999999997</v>
      </c>
      <c r="L70" s="241">
        <f t="shared" si="13"/>
        <v>85.298298977938316</v>
      </c>
      <c r="M70" s="241">
        <f t="shared" si="13"/>
        <v>111.01111686965535</v>
      </c>
      <c r="N70" s="242">
        <f t="shared" si="13"/>
        <v>100.9068669410115</v>
      </c>
    </row>
    <row r="71" spans="1:14" x14ac:dyDescent="0.2">
      <c r="A71" s="218"/>
      <c r="B71" s="232" t="s">
        <v>276</v>
      </c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8"/>
    </row>
    <row r="72" spans="1:14" x14ac:dyDescent="0.2">
      <c r="A72" s="218"/>
      <c r="B72" s="234" t="s">
        <v>260</v>
      </c>
      <c r="C72" s="249">
        <v>76283</v>
      </c>
      <c r="D72" s="249">
        <v>170424</v>
      </c>
      <c r="E72" s="249">
        <v>800765</v>
      </c>
      <c r="F72" s="249">
        <v>304095</v>
      </c>
      <c r="G72" s="249">
        <v>48441</v>
      </c>
      <c r="H72" s="249">
        <v>26636</v>
      </c>
      <c r="I72" s="249">
        <v>2268</v>
      </c>
      <c r="J72" s="249">
        <v>47774</v>
      </c>
      <c r="K72" s="249">
        <v>518</v>
      </c>
      <c r="L72" s="249">
        <v>345190</v>
      </c>
      <c r="M72" s="249">
        <v>27154</v>
      </c>
      <c r="N72" s="250">
        <v>1477204</v>
      </c>
    </row>
    <row r="73" spans="1:14" x14ac:dyDescent="0.2">
      <c r="A73" s="218"/>
      <c r="B73" s="237" t="s">
        <v>261</v>
      </c>
      <c r="C73" s="238">
        <f>61108.71+25.25</f>
        <v>61133.96</v>
      </c>
      <c r="D73" s="238">
        <f>163177.21+1160.54</f>
        <v>164337.75</v>
      </c>
      <c r="E73" s="238">
        <v>832098.41</v>
      </c>
      <c r="F73" s="238">
        <v>317183.11</v>
      </c>
      <c r="G73" s="238">
        <f>46286.45+1367.1</f>
        <v>47653.549999999996</v>
      </c>
      <c r="H73" s="238">
        <v>35071.42</v>
      </c>
      <c r="I73" s="238">
        <v>1895.31</v>
      </c>
      <c r="J73" s="238">
        <v>56568.22</v>
      </c>
      <c r="K73" s="238">
        <v>453.4</v>
      </c>
      <c r="L73" s="238">
        <f>SUM(C73+D73+G73+I73+J73)</f>
        <v>331588.79000000004</v>
      </c>
      <c r="M73" s="238">
        <f>SUM(H73+K73)</f>
        <v>35524.82</v>
      </c>
      <c r="N73" s="239">
        <f>SUM(C73:K73)</f>
        <v>1516395.13</v>
      </c>
    </row>
    <row r="74" spans="1:14" x14ac:dyDescent="0.2">
      <c r="A74" s="218"/>
      <c r="B74" s="237" t="s">
        <v>262</v>
      </c>
      <c r="C74" s="241">
        <f t="shared" ref="C74:N74" si="14">SUM(C73/C72)*100</f>
        <v>80.141001271580819</v>
      </c>
      <c r="D74" s="241">
        <f t="shared" si="14"/>
        <v>96.428760033798056</v>
      </c>
      <c r="E74" s="241">
        <f t="shared" si="14"/>
        <v>103.91293450637829</v>
      </c>
      <c r="F74" s="241">
        <f t="shared" si="14"/>
        <v>104.30395435636891</v>
      </c>
      <c r="G74" s="241">
        <f t="shared" si="14"/>
        <v>98.374414235874568</v>
      </c>
      <c r="H74" s="241">
        <f t="shared" si="14"/>
        <v>131.66924463132602</v>
      </c>
      <c r="I74" s="241">
        <f t="shared" si="14"/>
        <v>83.567460317460316</v>
      </c>
      <c r="J74" s="241">
        <f t="shared" si="14"/>
        <v>118.40796249005736</v>
      </c>
      <c r="K74" s="241">
        <f t="shared" si="14"/>
        <v>87.528957528957534</v>
      </c>
      <c r="L74" s="241">
        <f t="shared" si="14"/>
        <v>96.059790260436301</v>
      </c>
      <c r="M74" s="241">
        <f t="shared" si="14"/>
        <v>130.8272077778596</v>
      </c>
      <c r="N74" s="242">
        <f t="shared" si="14"/>
        <v>102.65306145935158</v>
      </c>
    </row>
    <row r="75" spans="1:14" x14ac:dyDescent="0.2">
      <c r="A75" s="218"/>
      <c r="B75" s="243" t="s">
        <v>277</v>
      </c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8"/>
    </row>
    <row r="76" spans="1:14" x14ac:dyDescent="0.2">
      <c r="A76" s="218"/>
      <c r="B76" s="234" t="s">
        <v>260</v>
      </c>
      <c r="C76" s="249">
        <v>55297</v>
      </c>
      <c r="D76" s="249">
        <v>165262</v>
      </c>
      <c r="E76" s="249">
        <v>813852</v>
      </c>
      <c r="F76" s="249">
        <v>313524</v>
      </c>
      <c r="G76" s="249">
        <v>46042</v>
      </c>
      <c r="H76" s="249">
        <v>31595</v>
      </c>
      <c r="I76" s="249">
        <v>5342</v>
      </c>
      <c r="J76" s="249">
        <v>44500</v>
      </c>
      <c r="K76" s="249"/>
      <c r="L76" s="249">
        <v>316443</v>
      </c>
      <c r="M76" s="249">
        <v>31595</v>
      </c>
      <c r="N76" s="250">
        <v>1475414</v>
      </c>
    </row>
    <row r="77" spans="1:14" x14ac:dyDescent="0.2">
      <c r="A77" s="218"/>
      <c r="B77" s="237" t="s">
        <v>261</v>
      </c>
      <c r="C77" s="238">
        <f>54273.54+10.65</f>
        <v>54284.19</v>
      </c>
      <c r="D77" s="238">
        <f>150674.61+1168.41</f>
        <v>151843.01999999999</v>
      </c>
      <c r="E77" s="238">
        <v>834520.91</v>
      </c>
      <c r="F77" s="238">
        <v>315787.36</v>
      </c>
      <c r="G77" s="238">
        <f>42416.76+1614</f>
        <v>44030.76</v>
      </c>
      <c r="H77" s="238">
        <v>22567.279999999999</v>
      </c>
      <c r="I77" s="238">
        <v>1763.88</v>
      </c>
      <c r="J77" s="238">
        <v>48059.93</v>
      </c>
      <c r="K77" s="238">
        <v>115.78</v>
      </c>
      <c r="L77" s="238">
        <f>SUM(C77+D77+G77+I77+J77)</f>
        <v>299981.78000000003</v>
      </c>
      <c r="M77" s="238">
        <f>SUM(H77+K77)</f>
        <v>22683.059999999998</v>
      </c>
      <c r="N77" s="239">
        <f>SUM(C77:K77)</f>
        <v>1472973.1099999999</v>
      </c>
    </row>
    <row r="78" spans="1:14" x14ac:dyDescent="0.2">
      <c r="A78" s="218"/>
      <c r="B78" s="246" t="s">
        <v>262</v>
      </c>
      <c r="C78" s="241">
        <f t="shared" ref="C78:J78" si="15">SUM(C77/C76)*100</f>
        <v>98.168417816518087</v>
      </c>
      <c r="D78" s="241">
        <f t="shared" si="15"/>
        <v>91.880178141375495</v>
      </c>
      <c r="E78" s="241">
        <f t="shared" si="15"/>
        <v>102.53963988538457</v>
      </c>
      <c r="F78" s="241">
        <f t="shared" si="15"/>
        <v>100.72190964647044</v>
      </c>
      <c r="G78" s="241">
        <f t="shared" si="15"/>
        <v>95.631727553103701</v>
      </c>
      <c r="H78" s="241">
        <f t="shared" si="15"/>
        <v>71.426744738091458</v>
      </c>
      <c r="I78" s="241">
        <f t="shared" si="15"/>
        <v>33.019093972295025</v>
      </c>
      <c r="J78" s="241">
        <f t="shared" si="15"/>
        <v>107.99984269662922</v>
      </c>
      <c r="K78" s="241"/>
      <c r="L78" s="241">
        <f>SUM(L77/L76)*100</f>
        <v>94.798045777596613</v>
      </c>
      <c r="M78" s="241">
        <f>SUM(M77/M76)*100</f>
        <v>71.793195125811039</v>
      </c>
      <c r="N78" s="242">
        <f>SUM(N77/N76)*100</f>
        <v>99.834562366901764</v>
      </c>
    </row>
    <row r="79" spans="1:14" x14ac:dyDescent="0.2">
      <c r="A79" s="218"/>
      <c r="B79" s="232" t="s">
        <v>278</v>
      </c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8"/>
    </row>
    <row r="80" spans="1:14" x14ac:dyDescent="0.2">
      <c r="A80" s="218"/>
      <c r="B80" s="234" t="s">
        <v>260</v>
      </c>
      <c r="C80" s="249">
        <v>77314</v>
      </c>
      <c r="D80" s="249">
        <v>203566</v>
      </c>
      <c r="E80" s="249">
        <v>812766</v>
      </c>
      <c r="F80" s="249">
        <v>319354</v>
      </c>
      <c r="G80" s="249">
        <v>48473</v>
      </c>
      <c r="H80" s="249">
        <v>50744</v>
      </c>
      <c r="I80" s="249">
        <v>2930</v>
      </c>
      <c r="J80" s="249">
        <v>47085</v>
      </c>
      <c r="K80" s="249">
        <v>330</v>
      </c>
      <c r="L80" s="249">
        <v>379368</v>
      </c>
      <c r="M80" s="249">
        <v>51074</v>
      </c>
      <c r="N80" s="250">
        <v>1562562</v>
      </c>
    </row>
    <row r="81" spans="1:14" x14ac:dyDescent="0.2">
      <c r="A81" s="218"/>
      <c r="B81" s="237" t="s">
        <v>261</v>
      </c>
      <c r="C81" s="238">
        <f>64526.9+21.64</f>
        <v>64548.54</v>
      </c>
      <c r="D81" s="238">
        <f>172955.35+52.18</f>
        <v>173007.53</v>
      </c>
      <c r="E81" s="238">
        <v>855672.59</v>
      </c>
      <c r="F81" s="238">
        <v>328095.13</v>
      </c>
      <c r="G81" s="238">
        <f>45388.01+1688.4</f>
        <v>47076.41</v>
      </c>
      <c r="H81" s="238">
        <v>48086.7</v>
      </c>
      <c r="I81" s="238">
        <v>3896.31</v>
      </c>
      <c r="J81" s="238">
        <v>53194.89</v>
      </c>
      <c r="K81" s="238">
        <v>317.06</v>
      </c>
      <c r="L81" s="238">
        <f>SUM(C81+D81+G81+I81+J81)</f>
        <v>341723.68</v>
      </c>
      <c r="M81" s="238">
        <f>SUM(H81+K81)</f>
        <v>48403.759999999995</v>
      </c>
      <c r="N81" s="239">
        <f>SUM(C81:K81)</f>
        <v>1573895.16</v>
      </c>
    </row>
    <row r="82" spans="1:14" x14ac:dyDescent="0.2">
      <c r="A82" s="218"/>
      <c r="B82" s="237" t="s">
        <v>262</v>
      </c>
      <c r="C82" s="241">
        <f t="shared" ref="C82:N82" si="16">SUM(C81/C80)*100</f>
        <v>83.488811858136941</v>
      </c>
      <c r="D82" s="241">
        <f t="shared" si="16"/>
        <v>84.988421445624525</v>
      </c>
      <c r="E82" s="241">
        <f t="shared" si="16"/>
        <v>105.27908278643545</v>
      </c>
      <c r="F82" s="241">
        <f t="shared" si="16"/>
        <v>102.73712870357032</v>
      </c>
      <c r="G82" s="241">
        <f t="shared" si="16"/>
        <v>97.118829038846371</v>
      </c>
      <c r="H82" s="241">
        <f t="shared" si="16"/>
        <v>94.763321772032157</v>
      </c>
      <c r="I82" s="241">
        <f t="shared" si="16"/>
        <v>132.97986348122868</v>
      </c>
      <c r="J82" s="241">
        <f t="shared" si="16"/>
        <v>112.97629818413509</v>
      </c>
      <c r="K82" s="241">
        <f t="shared" si="16"/>
        <v>96.078787878787878</v>
      </c>
      <c r="L82" s="241">
        <f t="shared" si="16"/>
        <v>90.077096644946337</v>
      </c>
      <c r="M82" s="241">
        <f t="shared" si="16"/>
        <v>94.771821278928599</v>
      </c>
      <c r="N82" s="242">
        <f t="shared" si="16"/>
        <v>100.72529346035549</v>
      </c>
    </row>
    <row r="83" spans="1:14" x14ac:dyDescent="0.2">
      <c r="A83" s="218"/>
      <c r="B83" s="243" t="s">
        <v>279</v>
      </c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8"/>
    </row>
    <row r="84" spans="1:14" x14ac:dyDescent="0.2">
      <c r="A84" s="218"/>
      <c r="B84" s="234" t="s">
        <v>260</v>
      </c>
      <c r="C84" s="249">
        <v>70186</v>
      </c>
      <c r="D84" s="249">
        <v>107824</v>
      </c>
      <c r="E84" s="249">
        <v>763369</v>
      </c>
      <c r="F84" s="249">
        <v>292972</v>
      </c>
      <c r="G84" s="249">
        <v>45563</v>
      </c>
      <c r="H84" s="249">
        <v>30331</v>
      </c>
      <c r="I84" s="249">
        <v>4110</v>
      </c>
      <c r="J84" s="249">
        <v>33977</v>
      </c>
      <c r="K84" s="249">
        <v>758</v>
      </c>
      <c r="L84" s="249">
        <v>261660</v>
      </c>
      <c r="M84" s="249">
        <v>31089</v>
      </c>
      <c r="N84" s="250">
        <v>1349090</v>
      </c>
    </row>
    <row r="85" spans="1:14" x14ac:dyDescent="0.2">
      <c r="A85" s="218"/>
      <c r="B85" s="237" t="s">
        <v>261</v>
      </c>
      <c r="C85" s="238">
        <f>56850.83+15.93</f>
        <v>56866.76</v>
      </c>
      <c r="D85" s="238">
        <f>90010.86+1638.62</f>
        <v>91649.48</v>
      </c>
      <c r="E85" s="238">
        <v>800737.94</v>
      </c>
      <c r="F85" s="238">
        <v>302401.52</v>
      </c>
      <c r="G85" s="238">
        <f>44711.25+904.8</f>
        <v>45616.05</v>
      </c>
      <c r="H85" s="238">
        <v>45423.67</v>
      </c>
      <c r="I85" s="238">
        <v>3823.84</v>
      </c>
      <c r="J85" s="238">
        <v>37853.410000000003</v>
      </c>
      <c r="K85" s="238">
        <v>557.76</v>
      </c>
      <c r="L85" s="238">
        <f>SUM(C85+D85+G85+I85+J85)</f>
        <v>235809.53999999998</v>
      </c>
      <c r="M85" s="238">
        <f>SUM(H85+K85)</f>
        <v>45981.43</v>
      </c>
      <c r="N85" s="239">
        <f>SUM(C85:K85)</f>
        <v>1384930.43</v>
      </c>
    </row>
    <row r="86" spans="1:14" x14ac:dyDescent="0.2">
      <c r="A86" s="218"/>
      <c r="B86" s="246" t="s">
        <v>262</v>
      </c>
      <c r="C86" s="241">
        <f t="shared" ref="C86:N86" si="17">SUM(C85/C84)*100</f>
        <v>81.022939047673333</v>
      </c>
      <c r="D86" s="241">
        <f t="shared" si="17"/>
        <v>84.999146757679185</v>
      </c>
      <c r="E86" s="241">
        <f t="shared" si="17"/>
        <v>104.8952655923937</v>
      </c>
      <c r="F86" s="241">
        <f t="shared" si="17"/>
        <v>103.21857378862146</v>
      </c>
      <c r="G86" s="241">
        <f t="shared" si="17"/>
        <v>100.11643219278801</v>
      </c>
      <c r="H86" s="241">
        <f t="shared" si="17"/>
        <v>149.75988262833403</v>
      </c>
      <c r="I86" s="241">
        <f t="shared" si="17"/>
        <v>93.037469586374698</v>
      </c>
      <c r="J86" s="241">
        <f t="shared" si="17"/>
        <v>111.40892368366838</v>
      </c>
      <c r="K86" s="241">
        <f t="shared" si="17"/>
        <v>73.583113456464375</v>
      </c>
      <c r="L86" s="241">
        <f t="shared" si="17"/>
        <v>90.120591607429475</v>
      </c>
      <c r="M86" s="241">
        <f t="shared" si="17"/>
        <v>147.90257004085046</v>
      </c>
      <c r="N86" s="242">
        <f t="shared" si="17"/>
        <v>102.65663743708721</v>
      </c>
    </row>
    <row r="87" spans="1:14" x14ac:dyDescent="0.2">
      <c r="A87" s="218"/>
      <c r="B87" s="232" t="s">
        <v>280</v>
      </c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8"/>
    </row>
    <row r="88" spans="1:14" x14ac:dyDescent="0.2">
      <c r="A88" s="218"/>
      <c r="B88" s="234" t="s">
        <v>260</v>
      </c>
      <c r="C88" s="249">
        <v>127109</v>
      </c>
      <c r="D88" s="249">
        <v>283240</v>
      </c>
      <c r="E88" s="249">
        <v>1237175</v>
      </c>
      <c r="F88" s="249">
        <v>466580</v>
      </c>
      <c r="G88" s="249">
        <v>72674</v>
      </c>
      <c r="H88" s="249">
        <v>27553</v>
      </c>
      <c r="I88" s="249">
        <v>8828</v>
      </c>
      <c r="J88" s="249">
        <v>46184</v>
      </c>
      <c r="K88" s="249">
        <v>684</v>
      </c>
      <c r="L88" s="249">
        <v>538035</v>
      </c>
      <c r="M88" s="249">
        <v>28237</v>
      </c>
      <c r="N88" s="250">
        <v>2270027</v>
      </c>
    </row>
    <row r="89" spans="1:14" x14ac:dyDescent="0.2">
      <c r="A89" s="218"/>
      <c r="B89" s="237" t="s">
        <v>261</v>
      </c>
      <c r="C89" s="238">
        <f>97146.03+639.79</f>
        <v>97785.819999999992</v>
      </c>
      <c r="D89" s="238">
        <f>235637.02+892.39</f>
        <v>236529.41</v>
      </c>
      <c r="E89" s="238">
        <v>1270869.29</v>
      </c>
      <c r="F89" s="238">
        <v>481316.28</v>
      </c>
      <c r="G89" s="238">
        <f>70215.49+2510.86</f>
        <v>72726.350000000006</v>
      </c>
      <c r="H89" s="238">
        <v>38272.870000000003</v>
      </c>
      <c r="I89" s="238">
        <v>10490.64</v>
      </c>
      <c r="J89" s="238">
        <v>50460.52</v>
      </c>
      <c r="K89" s="238">
        <v>0</v>
      </c>
      <c r="L89" s="238">
        <f>SUM(C89+D89+G89+I89+J89)</f>
        <v>467992.74</v>
      </c>
      <c r="M89" s="238">
        <f>SUM(H89+K89)</f>
        <v>38272.870000000003</v>
      </c>
      <c r="N89" s="239">
        <f>SUM(C89:K89)</f>
        <v>2258451.1800000002</v>
      </c>
    </row>
    <row r="90" spans="1:14" x14ac:dyDescent="0.2">
      <c r="A90" s="218"/>
      <c r="B90" s="237" t="s">
        <v>262</v>
      </c>
      <c r="C90" s="241">
        <f t="shared" ref="C90:N90" si="18">SUM(C89/C88)*100</f>
        <v>76.930681541039576</v>
      </c>
      <c r="D90" s="241">
        <f t="shared" si="18"/>
        <v>83.508476910040955</v>
      </c>
      <c r="E90" s="241">
        <f t="shared" si="18"/>
        <v>102.72348616808455</v>
      </c>
      <c r="F90" s="241">
        <f t="shared" si="18"/>
        <v>103.15836083844144</v>
      </c>
      <c r="G90" s="241">
        <f t="shared" si="18"/>
        <v>100.07203401491593</v>
      </c>
      <c r="H90" s="241">
        <f t="shared" si="18"/>
        <v>138.9063622835989</v>
      </c>
      <c r="I90" s="241">
        <f t="shared" si="18"/>
        <v>118.83371091980062</v>
      </c>
      <c r="J90" s="241">
        <f t="shared" si="18"/>
        <v>109.25974363415901</v>
      </c>
      <c r="K90" s="241">
        <f t="shared" si="18"/>
        <v>0</v>
      </c>
      <c r="L90" s="241">
        <f t="shared" si="18"/>
        <v>86.981839471409856</v>
      </c>
      <c r="M90" s="241">
        <f t="shared" si="18"/>
        <v>135.54155894748027</v>
      </c>
      <c r="N90" s="242">
        <f t="shared" si="18"/>
        <v>99.490058047767732</v>
      </c>
    </row>
    <row r="91" spans="1:14" x14ac:dyDescent="0.2">
      <c r="A91" s="218"/>
      <c r="B91" s="243" t="s">
        <v>281</v>
      </c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8"/>
    </row>
    <row r="92" spans="1:14" x14ac:dyDescent="0.2">
      <c r="A92" s="218"/>
      <c r="B92" s="234" t="s">
        <v>260</v>
      </c>
      <c r="C92" s="249">
        <v>66243</v>
      </c>
      <c r="D92" s="249">
        <v>88780</v>
      </c>
      <c r="E92" s="249">
        <v>638267</v>
      </c>
      <c r="F92" s="249">
        <v>247684</v>
      </c>
      <c r="G92" s="249">
        <v>34830</v>
      </c>
      <c r="H92" s="249">
        <v>29402</v>
      </c>
      <c r="I92" s="249">
        <v>1823</v>
      </c>
      <c r="J92" s="249">
        <v>23350</v>
      </c>
      <c r="K92" s="249">
        <v>480</v>
      </c>
      <c r="L92" s="249">
        <v>215026</v>
      </c>
      <c r="M92" s="249">
        <v>29882</v>
      </c>
      <c r="N92" s="250">
        <v>1130859</v>
      </c>
    </row>
    <row r="93" spans="1:14" x14ac:dyDescent="0.2">
      <c r="A93" s="218"/>
      <c r="B93" s="237" t="s">
        <v>261</v>
      </c>
      <c r="C93" s="238">
        <f>43675.98+9.07</f>
        <v>43685.05</v>
      </c>
      <c r="D93" s="238">
        <f>86401.22+552.49</f>
        <v>86953.71</v>
      </c>
      <c r="E93" s="238">
        <v>657910</v>
      </c>
      <c r="F93" s="238">
        <v>257256.18</v>
      </c>
      <c r="G93" s="238">
        <f>35409.51+1255</f>
        <v>36664.51</v>
      </c>
      <c r="H93" s="238">
        <v>38034.61</v>
      </c>
      <c r="I93" s="238">
        <v>1645.14</v>
      </c>
      <c r="J93" s="238">
        <v>27199.87</v>
      </c>
      <c r="K93" s="238">
        <v>481.4</v>
      </c>
      <c r="L93" s="238">
        <f>SUM(C93+D93+G93+I93+J93)</f>
        <v>196148.28000000003</v>
      </c>
      <c r="M93" s="238">
        <f>SUM(H93+K93)</f>
        <v>38516.01</v>
      </c>
      <c r="N93" s="239">
        <f>SUM(C93:K93)</f>
        <v>1149830.47</v>
      </c>
    </row>
    <row r="94" spans="1:14" x14ac:dyDescent="0.2">
      <c r="A94" s="218"/>
      <c r="B94" s="246" t="s">
        <v>262</v>
      </c>
      <c r="C94" s="241">
        <f t="shared" ref="C94:N94" si="19">SUM(C93/C92)*100</f>
        <v>65.94666606282928</v>
      </c>
      <c r="D94" s="241">
        <f t="shared" si="19"/>
        <v>97.942903807163788</v>
      </c>
      <c r="E94" s="241">
        <f t="shared" si="19"/>
        <v>103.07755218427397</v>
      </c>
      <c r="F94" s="241">
        <f t="shared" si="19"/>
        <v>103.86467434311461</v>
      </c>
      <c r="G94" s="241">
        <f t="shared" si="19"/>
        <v>105.26703990812518</v>
      </c>
      <c r="H94" s="241">
        <f t="shared" si="19"/>
        <v>129.36062172641317</v>
      </c>
      <c r="I94" s="241">
        <f t="shared" si="19"/>
        <v>90.243554580362044</v>
      </c>
      <c r="J94" s="241">
        <f t="shared" si="19"/>
        <v>116.48766595289079</v>
      </c>
      <c r="K94" s="241">
        <f t="shared" si="19"/>
        <v>100.29166666666667</v>
      </c>
      <c r="L94" s="241">
        <f t="shared" si="19"/>
        <v>91.22072679582935</v>
      </c>
      <c r="M94" s="241">
        <f t="shared" si="19"/>
        <v>128.89368181513956</v>
      </c>
      <c r="N94" s="242">
        <f t="shared" si="19"/>
        <v>101.67761586546156</v>
      </c>
    </row>
    <row r="95" spans="1:14" x14ac:dyDescent="0.2">
      <c r="A95" s="218"/>
      <c r="B95" s="232" t="s">
        <v>282</v>
      </c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8"/>
    </row>
    <row r="96" spans="1:14" x14ac:dyDescent="0.2">
      <c r="A96" s="218"/>
      <c r="B96" s="234" t="s">
        <v>260</v>
      </c>
      <c r="C96" s="249">
        <v>97274</v>
      </c>
      <c r="D96" s="249">
        <v>176258</v>
      </c>
      <c r="E96" s="249">
        <v>542954</v>
      </c>
      <c r="F96" s="249">
        <v>215576</v>
      </c>
      <c r="G96" s="249">
        <v>32350</v>
      </c>
      <c r="H96" s="249">
        <v>38829</v>
      </c>
      <c r="I96" s="249">
        <v>2450</v>
      </c>
      <c r="J96" s="249">
        <v>21400</v>
      </c>
      <c r="K96" s="249"/>
      <c r="L96" s="249">
        <v>329732</v>
      </c>
      <c r="M96" s="249">
        <v>38829</v>
      </c>
      <c r="N96" s="250">
        <v>1127091</v>
      </c>
    </row>
    <row r="97" spans="1:14" x14ac:dyDescent="0.2">
      <c r="A97" s="218"/>
      <c r="B97" s="237" t="s">
        <v>261</v>
      </c>
      <c r="C97" s="238">
        <f>48127.63+3.39</f>
        <v>48131.02</v>
      </c>
      <c r="D97" s="238">
        <f>165816.42+813.05</f>
        <v>166629.47</v>
      </c>
      <c r="E97" s="238">
        <v>586580.18000000005</v>
      </c>
      <c r="F97" s="238">
        <v>227443.6</v>
      </c>
      <c r="G97" s="238">
        <f>31960.98+1197.9</f>
        <v>33158.879999999997</v>
      </c>
      <c r="H97" s="238">
        <v>22248.43</v>
      </c>
      <c r="I97" s="238">
        <v>3528.12</v>
      </c>
      <c r="J97" s="238">
        <v>17326.189999999999</v>
      </c>
      <c r="K97" s="238"/>
      <c r="L97" s="238">
        <f>SUM(C97+D97+G97+I97+J97)</f>
        <v>268773.68</v>
      </c>
      <c r="M97" s="238">
        <f>SUM(H97+K97)</f>
        <v>22248.43</v>
      </c>
      <c r="N97" s="239">
        <f>SUM(C97:K97)</f>
        <v>1105045.8899999999</v>
      </c>
    </row>
    <row r="98" spans="1:14" x14ac:dyDescent="0.2">
      <c r="A98" s="218"/>
      <c r="B98" s="237" t="s">
        <v>262</v>
      </c>
      <c r="C98" s="241">
        <f t="shared" ref="C98:J98" si="20">SUM(C97/C96)*100</f>
        <v>49.479840450685685</v>
      </c>
      <c r="D98" s="241">
        <f t="shared" si="20"/>
        <v>94.537252209828765</v>
      </c>
      <c r="E98" s="241">
        <f t="shared" si="20"/>
        <v>108.03496797150405</v>
      </c>
      <c r="F98" s="241">
        <f t="shared" si="20"/>
        <v>105.50506549894236</v>
      </c>
      <c r="G98" s="241">
        <f t="shared" si="20"/>
        <v>102.50040185471406</v>
      </c>
      <c r="H98" s="241">
        <f t="shared" si="20"/>
        <v>57.298488243323284</v>
      </c>
      <c r="I98" s="241">
        <f t="shared" si="20"/>
        <v>144.00489795918367</v>
      </c>
      <c r="J98" s="241">
        <f t="shared" si="20"/>
        <v>80.963504672897187</v>
      </c>
      <c r="K98" s="241"/>
      <c r="L98" s="241">
        <f>SUM(L97/L96)*100</f>
        <v>81.512767944876444</v>
      </c>
      <c r="M98" s="241">
        <f>SUM(M97/M96)*100</f>
        <v>57.298488243323284</v>
      </c>
      <c r="N98" s="242">
        <f>SUM(N97/N96)*100</f>
        <v>98.044070088395699</v>
      </c>
    </row>
    <row r="99" spans="1:14" x14ac:dyDescent="0.2">
      <c r="A99" s="218"/>
      <c r="B99" s="243" t="s">
        <v>283</v>
      </c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8"/>
    </row>
    <row r="100" spans="1:14" x14ac:dyDescent="0.2">
      <c r="A100" s="218"/>
      <c r="B100" s="234" t="s">
        <v>260</v>
      </c>
      <c r="C100" s="249">
        <v>41041</v>
      </c>
      <c r="D100" s="249">
        <v>52837</v>
      </c>
      <c r="E100" s="249">
        <v>424256</v>
      </c>
      <c r="F100" s="249">
        <v>175455</v>
      </c>
      <c r="G100" s="249">
        <v>27620</v>
      </c>
      <c r="H100" s="249">
        <v>49601</v>
      </c>
      <c r="I100" s="249">
        <v>1350</v>
      </c>
      <c r="J100" s="249">
        <v>13959</v>
      </c>
      <c r="K100" s="249">
        <v>100</v>
      </c>
      <c r="L100" s="249">
        <v>136807</v>
      </c>
      <c r="M100" s="249">
        <v>49701</v>
      </c>
      <c r="N100" s="250">
        <v>786219</v>
      </c>
    </row>
    <row r="101" spans="1:14" x14ac:dyDescent="0.2">
      <c r="A101" s="218"/>
      <c r="B101" s="237" t="s">
        <v>261</v>
      </c>
      <c r="C101" s="238">
        <f>31752.79+342.02</f>
        <v>32094.81</v>
      </c>
      <c r="D101" s="238">
        <f>41537.28+305.76</f>
        <v>41843.040000000001</v>
      </c>
      <c r="E101" s="238">
        <v>446050.83</v>
      </c>
      <c r="F101" s="238">
        <v>172755.91</v>
      </c>
      <c r="G101" s="238">
        <f>22522.69+879.75</f>
        <v>23402.44</v>
      </c>
      <c r="H101" s="238">
        <v>42403.42</v>
      </c>
      <c r="I101" s="238">
        <v>1215.8699999999999</v>
      </c>
      <c r="J101" s="238">
        <v>13765.19</v>
      </c>
      <c r="K101" s="238">
        <v>0</v>
      </c>
      <c r="L101" s="238">
        <f>SUM(C101+D101+G101+I101+J101)</f>
        <v>112321.35</v>
      </c>
      <c r="M101" s="238">
        <f>SUM(H101+K101)</f>
        <v>42403.42</v>
      </c>
      <c r="N101" s="239">
        <f>SUM(C101:K101)</f>
        <v>773531.51</v>
      </c>
    </row>
    <row r="102" spans="1:14" x14ac:dyDescent="0.2">
      <c r="A102" s="218"/>
      <c r="B102" s="246" t="s">
        <v>262</v>
      </c>
      <c r="C102" s="241">
        <f t="shared" ref="C102:N102" si="21">SUM(C101/C100)*100</f>
        <v>78.201822567676231</v>
      </c>
      <c r="D102" s="241">
        <f t="shared" si="21"/>
        <v>79.192686942862011</v>
      </c>
      <c r="E102" s="241">
        <f t="shared" si="21"/>
        <v>105.13718839568563</v>
      </c>
      <c r="F102" s="241">
        <f t="shared" si="21"/>
        <v>98.461662534553014</v>
      </c>
      <c r="G102" s="241">
        <f t="shared" si="21"/>
        <v>84.730050687907308</v>
      </c>
      <c r="H102" s="241">
        <f t="shared" si="21"/>
        <v>85.489042559625801</v>
      </c>
      <c r="I102" s="241">
        <f t="shared" si="21"/>
        <v>90.064444444444433</v>
      </c>
      <c r="J102" s="241">
        <f t="shared" si="21"/>
        <v>98.611576760512932</v>
      </c>
      <c r="K102" s="241">
        <f t="shared" si="21"/>
        <v>0</v>
      </c>
      <c r="L102" s="241">
        <f t="shared" si="21"/>
        <v>82.102048871768261</v>
      </c>
      <c r="M102" s="241">
        <f t="shared" si="21"/>
        <v>85.31703587452968</v>
      </c>
      <c r="N102" s="242">
        <f t="shared" si="21"/>
        <v>98.386265150040899</v>
      </c>
    </row>
    <row r="103" spans="1:14" x14ac:dyDescent="0.2">
      <c r="A103" s="218"/>
      <c r="B103" s="232" t="s">
        <v>284</v>
      </c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248"/>
    </row>
    <row r="104" spans="1:14" x14ac:dyDescent="0.2">
      <c r="A104" s="218"/>
      <c r="B104" s="234" t="s">
        <v>260</v>
      </c>
      <c r="C104" s="249">
        <v>79769</v>
      </c>
      <c r="D104" s="249">
        <v>133136</v>
      </c>
      <c r="E104" s="249">
        <v>800918</v>
      </c>
      <c r="F104" s="249">
        <v>316217</v>
      </c>
      <c r="G104" s="249">
        <v>46613</v>
      </c>
      <c r="H104" s="249">
        <v>53682</v>
      </c>
      <c r="I104" s="249">
        <v>4121</v>
      </c>
      <c r="J104" s="249">
        <v>24412</v>
      </c>
      <c r="K104" s="249"/>
      <c r="L104" s="249">
        <v>288051</v>
      </c>
      <c r="M104" s="249">
        <v>53682</v>
      </c>
      <c r="N104" s="250">
        <v>1458868</v>
      </c>
    </row>
    <row r="105" spans="1:14" x14ac:dyDescent="0.2">
      <c r="A105" s="218"/>
      <c r="B105" s="237" t="s">
        <v>261</v>
      </c>
      <c r="C105" s="238">
        <f>64887.15+570.74</f>
        <v>65457.89</v>
      </c>
      <c r="D105" s="238">
        <f>121607.34+815.63</f>
        <v>122422.97</v>
      </c>
      <c r="E105" s="238">
        <v>815291.11</v>
      </c>
      <c r="F105" s="238">
        <v>314935</v>
      </c>
      <c r="G105" s="238">
        <f>41552.7+1449.35</f>
        <v>43002.049999999996</v>
      </c>
      <c r="H105" s="238">
        <v>54528.52</v>
      </c>
      <c r="I105" s="238">
        <v>3792.47</v>
      </c>
      <c r="J105" s="238">
        <v>23132.67</v>
      </c>
      <c r="K105" s="238"/>
      <c r="L105" s="238">
        <f>SUM(C105+D105+G105+I105+J105)</f>
        <v>257808.05</v>
      </c>
      <c r="M105" s="238">
        <f>SUM(H105+K105)</f>
        <v>54528.52</v>
      </c>
      <c r="N105" s="239">
        <f>SUM(C105:K105)</f>
        <v>1442562.68</v>
      </c>
    </row>
    <row r="106" spans="1:14" x14ac:dyDescent="0.2">
      <c r="A106" s="218"/>
      <c r="B106" s="237" t="s">
        <v>262</v>
      </c>
      <c r="C106" s="241">
        <f t="shared" ref="C106:J106" si="22">SUM(C105/C104)*100</f>
        <v>82.059308754027256</v>
      </c>
      <c r="D106" s="241">
        <f t="shared" si="22"/>
        <v>91.953318411248659</v>
      </c>
      <c r="E106" s="241">
        <f t="shared" si="22"/>
        <v>101.7945794700581</v>
      </c>
      <c r="F106" s="241">
        <f t="shared" si="22"/>
        <v>99.594582201462927</v>
      </c>
      <c r="G106" s="241">
        <f t="shared" si="22"/>
        <v>92.253341342543919</v>
      </c>
      <c r="H106" s="241">
        <f t="shared" si="22"/>
        <v>101.57691591222382</v>
      </c>
      <c r="I106" s="241">
        <f t="shared" si="22"/>
        <v>92.027905848095116</v>
      </c>
      <c r="J106" s="241">
        <f t="shared" si="22"/>
        <v>94.759421595936416</v>
      </c>
      <c r="K106" s="241"/>
      <c r="L106" s="241">
        <f>SUM(L105/L104)*100</f>
        <v>89.500834921593736</v>
      </c>
      <c r="M106" s="241">
        <f>SUM(M105/M104)*100</f>
        <v>101.57691591222382</v>
      </c>
      <c r="N106" s="242">
        <f>SUM(N105/N104)*100</f>
        <v>98.882330683790443</v>
      </c>
    </row>
    <row r="107" spans="1:14" x14ac:dyDescent="0.2">
      <c r="A107" s="218"/>
      <c r="B107" s="243" t="s">
        <v>285</v>
      </c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8"/>
    </row>
    <row r="108" spans="1:14" x14ac:dyDescent="0.2">
      <c r="A108" s="218"/>
      <c r="B108" s="234" t="s">
        <v>260</v>
      </c>
      <c r="C108" s="249">
        <v>74246</v>
      </c>
      <c r="D108" s="249">
        <v>126765</v>
      </c>
      <c r="E108" s="249">
        <v>630928</v>
      </c>
      <c r="F108" s="249">
        <v>247054</v>
      </c>
      <c r="G108" s="249">
        <v>37427</v>
      </c>
      <c r="H108" s="249">
        <v>37694</v>
      </c>
      <c r="I108" s="249">
        <v>4138</v>
      </c>
      <c r="J108" s="249">
        <v>25400</v>
      </c>
      <c r="K108" s="249">
        <v>100</v>
      </c>
      <c r="L108" s="249">
        <v>267976</v>
      </c>
      <c r="M108" s="249">
        <v>37794</v>
      </c>
      <c r="N108" s="250">
        <v>1183752</v>
      </c>
    </row>
    <row r="109" spans="1:14" x14ac:dyDescent="0.2">
      <c r="A109" s="218"/>
      <c r="B109" s="237" t="s">
        <v>261</v>
      </c>
      <c r="C109" s="238">
        <f>55139.91+826.56</f>
        <v>55966.47</v>
      </c>
      <c r="D109" s="238">
        <f>102677.59+380.66</f>
        <v>103058.25</v>
      </c>
      <c r="E109" s="238">
        <v>651947.73</v>
      </c>
      <c r="F109" s="238">
        <v>250485.14</v>
      </c>
      <c r="G109" s="238">
        <f>34064.44+1246</f>
        <v>35310.44</v>
      </c>
      <c r="H109" s="238">
        <v>31241.77</v>
      </c>
      <c r="I109" s="238">
        <v>3533.7</v>
      </c>
      <c r="J109" s="238">
        <v>18066.990000000002</v>
      </c>
      <c r="K109" s="238">
        <v>39.840000000000003</v>
      </c>
      <c r="L109" s="238">
        <f>SUM(C109+D109+G109+I109+J109)</f>
        <v>215935.85</v>
      </c>
      <c r="M109" s="238">
        <f>SUM(H109+K109)</f>
        <v>31281.61</v>
      </c>
      <c r="N109" s="239">
        <f>SUM(C109:K109)</f>
        <v>1149650.3299999998</v>
      </c>
    </row>
    <row r="110" spans="1:14" x14ac:dyDescent="0.2">
      <c r="A110" s="218"/>
      <c r="B110" s="246" t="s">
        <v>262</v>
      </c>
      <c r="C110" s="241">
        <f t="shared" ref="C110:N110" si="23">SUM(C109/C108)*100</f>
        <v>75.379778035180351</v>
      </c>
      <c r="D110" s="241">
        <f t="shared" si="23"/>
        <v>81.298662880132539</v>
      </c>
      <c r="E110" s="241">
        <f t="shared" si="23"/>
        <v>103.33155764207642</v>
      </c>
      <c r="F110" s="241">
        <f t="shared" si="23"/>
        <v>101.38882187699856</v>
      </c>
      <c r="G110" s="241">
        <f t="shared" si="23"/>
        <v>94.344831271541935</v>
      </c>
      <c r="H110" s="241">
        <f t="shared" si="23"/>
        <v>82.882607311508465</v>
      </c>
      <c r="I110" s="241">
        <f t="shared" si="23"/>
        <v>85.396326727887867</v>
      </c>
      <c r="J110" s="241">
        <f t="shared" si="23"/>
        <v>71.129881889763794</v>
      </c>
      <c r="K110" s="241">
        <f t="shared" si="23"/>
        <v>39.840000000000003</v>
      </c>
      <c r="L110" s="241">
        <f t="shared" si="23"/>
        <v>80.580294503985442</v>
      </c>
      <c r="M110" s="241">
        <f t="shared" si="23"/>
        <v>82.768719902630053</v>
      </c>
      <c r="N110" s="242">
        <f t="shared" si="23"/>
        <v>97.119187971804891</v>
      </c>
    </row>
    <row r="111" spans="1:14" x14ac:dyDescent="0.2">
      <c r="A111" s="218"/>
      <c r="B111" s="232" t="s">
        <v>286</v>
      </c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8"/>
    </row>
    <row r="112" spans="1:14" x14ac:dyDescent="0.2">
      <c r="A112" s="218"/>
      <c r="B112" s="234" t="s">
        <v>260</v>
      </c>
      <c r="C112" s="249">
        <v>131347</v>
      </c>
      <c r="D112" s="249">
        <v>223262</v>
      </c>
      <c r="E112" s="249">
        <v>1225759</v>
      </c>
      <c r="F112" s="249">
        <v>464250</v>
      </c>
      <c r="G112" s="249">
        <v>75155</v>
      </c>
      <c r="H112" s="249">
        <v>26910</v>
      </c>
      <c r="I112" s="249">
        <v>3830</v>
      </c>
      <c r="J112" s="249">
        <v>68593</v>
      </c>
      <c r="K112" s="249">
        <v>900</v>
      </c>
      <c r="L112" s="249">
        <v>502187</v>
      </c>
      <c r="M112" s="249">
        <v>27810</v>
      </c>
      <c r="N112" s="250">
        <v>2220006</v>
      </c>
    </row>
    <row r="113" spans="1:14" x14ac:dyDescent="0.2">
      <c r="A113" s="218"/>
      <c r="B113" s="237" t="s">
        <v>261</v>
      </c>
      <c r="C113" s="238">
        <f>124511.48+491.58</f>
        <v>125003.06</v>
      </c>
      <c r="D113" s="238">
        <f>209119.78+3395.61</f>
        <v>212515.38999999998</v>
      </c>
      <c r="E113" s="238">
        <v>1252871.51</v>
      </c>
      <c r="F113" s="238">
        <v>472194.93</v>
      </c>
      <c r="G113" s="238">
        <f>65831.53+2325.54</f>
        <v>68157.069999999992</v>
      </c>
      <c r="H113" s="238">
        <v>24134.1</v>
      </c>
      <c r="I113" s="238">
        <v>7196.87</v>
      </c>
      <c r="J113" s="238">
        <v>81377.7</v>
      </c>
      <c r="K113" s="238">
        <v>209.66</v>
      </c>
      <c r="L113" s="238">
        <f>SUM(C113+D113+G113+I113+J113)</f>
        <v>494250.08999999997</v>
      </c>
      <c r="M113" s="238">
        <f>SUM(H113+K113)</f>
        <v>24343.759999999998</v>
      </c>
      <c r="N113" s="239">
        <f>SUM(C113:K113)</f>
        <v>2243660.2900000005</v>
      </c>
    </row>
    <row r="114" spans="1:14" x14ac:dyDescent="0.2">
      <c r="A114" s="218"/>
      <c r="B114" s="237" t="s">
        <v>262</v>
      </c>
      <c r="C114" s="241">
        <f t="shared" ref="C114:N114" si="24">SUM(C113/C112)*100</f>
        <v>95.170091437185462</v>
      </c>
      <c r="D114" s="241">
        <f t="shared" si="24"/>
        <v>95.186547643575707</v>
      </c>
      <c r="E114" s="241">
        <f t="shared" si="24"/>
        <v>102.21189564996055</v>
      </c>
      <c r="F114" s="241">
        <f t="shared" si="24"/>
        <v>101.71134733441033</v>
      </c>
      <c r="G114" s="241">
        <f t="shared" si="24"/>
        <v>90.688670081830864</v>
      </c>
      <c r="H114" s="241">
        <f t="shared" si="24"/>
        <v>89.684503901895198</v>
      </c>
      <c r="I114" s="241">
        <f t="shared" si="24"/>
        <v>187.90783289817233</v>
      </c>
      <c r="J114" s="241">
        <f t="shared" si="24"/>
        <v>118.63849080809995</v>
      </c>
      <c r="K114" s="241">
        <f t="shared" si="24"/>
        <v>23.295555555555556</v>
      </c>
      <c r="L114" s="241">
        <f t="shared" si="24"/>
        <v>98.41953097153052</v>
      </c>
      <c r="M114" s="241">
        <f t="shared" si="24"/>
        <v>87.535994246673852</v>
      </c>
      <c r="N114" s="242">
        <f t="shared" si="24"/>
        <v>101.06550567881349</v>
      </c>
    </row>
    <row r="115" spans="1:14" x14ac:dyDescent="0.2">
      <c r="A115" s="218"/>
      <c r="B115" s="243" t="s">
        <v>287</v>
      </c>
      <c r="C115" s="247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8"/>
    </row>
    <row r="116" spans="1:14" x14ac:dyDescent="0.2">
      <c r="A116" s="218"/>
      <c r="B116" s="234" t="s">
        <v>260</v>
      </c>
      <c r="C116" s="249">
        <v>59359</v>
      </c>
      <c r="D116" s="249">
        <v>123562</v>
      </c>
      <c r="E116" s="249">
        <v>555755</v>
      </c>
      <c r="F116" s="249">
        <v>210118</v>
      </c>
      <c r="G116" s="249">
        <v>34392</v>
      </c>
      <c r="H116" s="249">
        <v>11483</v>
      </c>
      <c r="I116" s="249">
        <v>1786</v>
      </c>
      <c r="J116" s="249">
        <v>28721</v>
      </c>
      <c r="K116" s="249">
        <v>332</v>
      </c>
      <c r="L116" s="249">
        <v>247820</v>
      </c>
      <c r="M116" s="249">
        <v>11815</v>
      </c>
      <c r="N116" s="250">
        <v>1025508</v>
      </c>
    </row>
    <row r="117" spans="1:14" x14ac:dyDescent="0.2">
      <c r="A117" s="218"/>
      <c r="B117" s="237" t="s">
        <v>261</v>
      </c>
      <c r="C117" s="238">
        <f>44921.6+545.19</f>
        <v>45466.79</v>
      </c>
      <c r="D117" s="238">
        <f>78692.29+201.97</f>
        <v>78894.259999999995</v>
      </c>
      <c r="E117" s="238">
        <v>571645.4</v>
      </c>
      <c r="F117" s="238">
        <v>214030.94</v>
      </c>
      <c r="G117" s="238">
        <f>29687.71+1279.48</f>
        <v>30967.19</v>
      </c>
      <c r="H117" s="238">
        <v>8267.2800000000007</v>
      </c>
      <c r="I117" s="238">
        <v>1675.39</v>
      </c>
      <c r="J117" s="238">
        <v>30474.080000000002</v>
      </c>
      <c r="K117" s="238">
        <v>0</v>
      </c>
      <c r="L117" s="238">
        <f>SUM(C117+D117+G117+I117+J117)</f>
        <v>187477.71000000002</v>
      </c>
      <c r="M117" s="238">
        <f>SUM(H117+K117)</f>
        <v>8267.2800000000007</v>
      </c>
      <c r="N117" s="239">
        <f>SUM(C117:K117)</f>
        <v>981421.32999999984</v>
      </c>
    </row>
    <row r="118" spans="1:14" x14ac:dyDescent="0.2">
      <c r="A118" s="218"/>
      <c r="B118" s="246" t="s">
        <v>262</v>
      </c>
      <c r="C118" s="241">
        <f t="shared" ref="C118:N118" si="25">SUM(C117/C116)*100</f>
        <v>76.596286999444061</v>
      </c>
      <c r="D118" s="241">
        <f t="shared" si="25"/>
        <v>63.849937683106447</v>
      </c>
      <c r="E118" s="241">
        <f t="shared" si="25"/>
        <v>102.85924553085444</v>
      </c>
      <c r="F118" s="241">
        <f t="shared" si="25"/>
        <v>101.86225835006996</v>
      </c>
      <c r="G118" s="241">
        <f t="shared" si="25"/>
        <v>90.04184112584322</v>
      </c>
      <c r="H118" s="241">
        <f t="shared" si="25"/>
        <v>71.995819907689622</v>
      </c>
      <c r="I118" s="241">
        <f t="shared" si="25"/>
        <v>93.806830907054874</v>
      </c>
      <c r="J118" s="241">
        <f t="shared" si="25"/>
        <v>106.10382646843775</v>
      </c>
      <c r="K118" s="241">
        <f t="shared" si="25"/>
        <v>0</v>
      </c>
      <c r="L118" s="241">
        <f t="shared" si="25"/>
        <v>75.650758615123891</v>
      </c>
      <c r="M118" s="241">
        <f t="shared" si="25"/>
        <v>69.972746508675414</v>
      </c>
      <c r="N118" s="242">
        <f t="shared" si="25"/>
        <v>95.700992093674529</v>
      </c>
    </row>
    <row r="119" spans="1:14" x14ac:dyDescent="0.2">
      <c r="A119" s="218"/>
      <c r="B119" s="232" t="s">
        <v>288</v>
      </c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8"/>
    </row>
    <row r="120" spans="1:14" x14ac:dyDescent="0.2">
      <c r="A120" s="218"/>
      <c r="B120" s="234" t="s">
        <v>260</v>
      </c>
      <c r="C120" s="249">
        <v>98174</v>
      </c>
      <c r="D120" s="249">
        <v>142820</v>
      </c>
      <c r="E120" s="249">
        <v>753796</v>
      </c>
      <c r="F120" s="249">
        <v>293931</v>
      </c>
      <c r="G120" s="249">
        <v>40091</v>
      </c>
      <c r="H120" s="249">
        <v>40329</v>
      </c>
      <c r="I120" s="249">
        <v>2153</v>
      </c>
      <c r="J120" s="249">
        <v>28594</v>
      </c>
      <c r="K120" s="249">
        <v>888</v>
      </c>
      <c r="L120" s="249">
        <v>311832</v>
      </c>
      <c r="M120" s="249">
        <v>41217</v>
      </c>
      <c r="N120" s="250">
        <v>1400776</v>
      </c>
    </row>
    <row r="121" spans="1:14" x14ac:dyDescent="0.2">
      <c r="A121" s="218"/>
      <c r="B121" s="237" t="s">
        <v>261</v>
      </c>
      <c r="C121" s="238">
        <f>71622.63+19.14</f>
        <v>71641.77</v>
      </c>
      <c r="D121" s="238">
        <f>117162.12+1308.07</f>
        <v>118470.19</v>
      </c>
      <c r="E121" s="238">
        <v>743869.87</v>
      </c>
      <c r="F121" s="238">
        <v>285707.49</v>
      </c>
      <c r="G121" s="238">
        <f>37422.14+1349.7</f>
        <v>38771.839999999997</v>
      </c>
      <c r="H121" s="238">
        <v>72212.600000000006</v>
      </c>
      <c r="I121" s="238">
        <v>2404.91</v>
      </c>
      <c r="J121" s="238">
        <v>33278.269999999997</v>
      </c>
      <c r="K121" s="238">
        <v>600.91999999999996</v>
      </c>
      <c r="L121" s="238">
        <f>SUM(C121+D121+G121+I121+J121)</f>
        <v>264566.98000000004</v>
      </c>
      <c r="M121" s="238">
        <f>SUM(H121+K121)</f>
        <v>72813.52</v>
      </c>
      <c r="N121" s="239">
        <f>SUM(C121:K121)</f>
        <v>1366957.86</v>
      </c>
    </row>
    <row r="122" spans="1:14" x14ac:dyDescent="0.2">
      <c r="A122" s="218"/>
      <c r="B122" s="237" t="s">
        <v>262</v>
      </c>
      <c r="C122" s="241">
        <f t="shared" ref="C122:N122" si="26">SUM(C121/C120)*100</f>
        <v>72.974280359361956</v>
      </c>
      <c r="D122" s="241">
        <f t="shared" si="26"/>
        <v>82.950700182047328</v>
      </c>
      <c r="E122" s="241">
        <f t="shared" si="26"/>
        <v>98.683180860604196</v>
      </c>
      <c r="F122" s="241">
        <f t="shared" si="26"/>
        <v>97.202231135878819</v>
      </c>
      <c r="G122" s="241">
        <f t="shared" si="26"/>
        <v>96.709585692549439</v>
      </c>
      <c r="H122" s="241">
        <f t="shared" si="26"/>
        <v>179.05874184829779</v>
      </c>
      <c r="I122" s="241">
        <f t="shared" si="26"/>
        <v>111.70041802136552</v>
      </c>
      <c r="J122" s="241">
        <f t="shared" si="26"/>
        <v>116.38200321745819</v>
      </c>
      <c r="K122" s="241">
        <f t="shared" si="26"/>
        <v>67.671171171171167</v>
      </c>
      <c r="L122" s="241">
        <f t="shared" si="26"/>
        <v>84.842793555504258</v>
      </c>
      <c r="M122" s="241">
        <f t="shared" si="26"/>
        <v>176.65895140354709</v>
      </c>
      <c r="N122" s="242">
        <f t="shared" si="26"/>
        <v>97.585756751971772</v>
      </c>
    </row>
    <row r="123" spans="1:14" x14ac:dyDescent="0.2">
      <c r="A123" s="218"/>
      <c r="B123" s="243" t="s">
        <v>289</v>
      </c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8"/>
    </row>
    <row r="124" spans="1:14" x14ac:dyDescent="0.2">
      <c r="A124" s="218"/>
      <c r="B124" s="234" t="s">
        <v>260</v>
      </c>
      <c r="C124" s="249">
        <v>140785</v>
      </c>
      <c r="D124" s="249">
        <v>190619</v>
      </c>
      <c r="E124" s="249">
        <v>998655</v>
      </c>
      <c r="F124" s="249">
        <v>386749</v>
      </c>
      <c r="G124" s="249">
        <v>80159</v>
      </c>
      <c r="H124" s="249">
        <v>45536</v>
      </c>
      <c r="I124" s="249">
        <v>19510</v>
      </c>
      <c r="J124" s="249">
        <v>56982</v>
      </c>
      <c r="K124" s="249">
        <v>80</v>
      </c>
      <c r="L124" s="249">
        <v>488055</v>
      </c>
      <c r="M124" s="249">
        <v>45616</v>
      </c>
      <c r="N124" s="250">
        <v>1919075</v>
      </c>
    </row>
    <row r="125" spans="1:14" x14ac:dyDescent="0.2">
      <c r="A125" s="218"/>
      <c r="B125" s="237" t="s">
        <v>261</v>
      </c>
      <c r="C125" s="238">
        <f>102242.61+143.75</f>
        <v>102386.36</v>
      </c>
      <c r="D125" s="238">
        <f>172735.94+1395.01</f>
        <v>174130.95</v>
      </c>
      <c r="E125" s="238">
        <v>1044339.94</v>
      </c>
      <c r="F125" s="238">
        <v>402731.85</v>
      </c>
      <c r="G125" s="238">
        <f>54901.83+1925.7</f>
        <v>56827.53</v>
      </c>
      <c r="H125" s="238">
        <v>42321.29</v>
      </c>
      <c r="I125" s="238">
        <v>5093.58</v>
      </c>
      <c r="J125" s="238">
        <v>50829.68</v>
      </c>
      <c r="K125" s="238">
        <v>79.2</v>
      </c>
      <c r="L125" s="238">
        <f>SUM(C125+D125+G125+I125+J125)</f>
        <v>389268.1</v>
      </c>
      <c r="M125" s="238">
        <f>SUM(H125+K125)</f>
        <v>42400.49</v>
      </c>
      <c r="N125" s="239">
        <f>SUM(C125:K125)</f>
        <v>1878740.3800000001</v>
      </c>
    </row>
    <row r="126" spans="1:14" x14ac:dyDescent="0.2">
      <c r="A126" s="218"/>
      <c r="B126" s="246" t="s">
        <v>262</v>
      </c>
      <c r="C126" s="241">
        <f t="shared" ref="C126:N126" si="27">SUM(C125/C124)*100</f>
        <v>72.725332954505092</v>
      </c>
      <c r="D126" s="241">
        <f t="shared" si="27"/>
        <v>91.350258893394681</v>
      </c>
      <c r="E126" s="241">
        <f t="shared" si="27"/>
        <v>104.57464690008061</v>
      </c>
      <c r="F126" s="241">
        <f t="shared" si="27"/>
        <v>104.13261572751318</v>
      </c>
      <c r="G126" s="241">
        <f t="shared" si="27"/>
        <v>70.893511645604363</v>
      </c>
      <c r="H126" s="241">
        <f t="shared" si="27"/>
        <v>92.940289002108216</v>
      </c>
      <c r="I126" s="241">
        <f t="shared" si="27"/>
        <v>26.107534597642235</v>
      </c>
      <c r="J126" s="241">
        <f t="shared" si="27"/>
        <v>89.20304657611176</v>
      </c>
      <c r="K126" s="241">
        <f t="shared" si="27"/>
        <v>99</v>
      </c>
      <c r="L126" s="241">
        <f t="shared" si="27"/>
        <v>79.759064039913525</v>
      </c>
      <c r="M126" s="241">
        <f t="shared" si="27"/>
        <v>92.950916345142048</v>
      </c>
      <c r="N126" s="242">
        <f t="shared" si="27"/>
        <v>97.898225968239913</v>
      </c>
    </row>
    <row r="127" spans="1:14" x14ac:dyDescent="0.2">
      <c r="A127" s="218"/>
      <c r="B127" s="232" t="s">
        <v>290</v>
      </c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8"/>
    </row>
    <row r="128" spans="1:14" x14ac:dyDescent="0.2">
      <c r="A128" s="218"/>
      <c r="B128" s="234" t="s">
        <v>260</v>
      </c>
      <c r="C128" s="249">
        <v>61192</v>
      </c>
      <c r="D128" s="249">
        <v>92804</v>
      </c>
      <c r="E128" s="249">
        <v>453909</v>
      </c>
      <c r="F128" s="249">
        <v>174895</v>
      </c>
      <c r="G128" s="249">
        <v>28513</v>
      </c>
      <c r="H128" s="249">
        <v>17366</v>
      </c>
      <c r="I128" s="249">
        <v>2881</v>
      </c>
      <c r="J128" s="249">
        <v>19583</v>
      </c>
      <c r="K128" s="249">
        <v>570</v>
      </c>
      <c r="L128" s="249">
        <v>204973</v>
      </c>
      <c r="M128" s="249">
        <v>17936</v>
      </c>
      <c r="N128" s="250">
        <v>851713</v>
      </c>
    </row>
    <row r="129" spans="1:14" x14ac:dyDescent="0.2">
      <c r="A129" s="218"/>
      <c r="B129" s="237" t="s">
        <v>261</v>
      </c>
      <c r="C129" s="238">
        <f>54532.65-126.7</f>
        <v>54405.950000000004</v>
      </c>
      <c r="D129" s="238">
        <f>83203.13+601.7</f>
        <v>83804.83</v>
      </c>
      <c r="E129" s="238">
        <v>482711.75</v>
      </c>
      <c r="F129" s="238">
        <v>186135.98</v>
      </c>
      <c r="G129" s="238">
        <f>25123.31+935.24</f>
        <v>26058.550000000003</v>
      </c>
      <c r="H129" s="238">
        <v>23688.57</v>
      </c>
      <c r="I129" s="238">
        <v>2930.34</v>
      </c>
      <c r="J129" s="238">
        <v>30993.03</v>
      </c>
      <c r="K129" s="238">
        <v>461.48</v>
      </c>
      <c r="L129" s="238">
        <f>SUM(C129+D129+G129+I129+J129)</f>
        <v>198192.7</v>
      </c>
      <c r="M129" s="238">
        <f>SUM(H129+K129)</f>
        <v>24150.05</v>
      </c>
      <c r="N129" s="239">
        <f>SUM(C129:K129)</f>
        <v>891190.48</v>
      </c>
    </row>
    <row r="130" spans="1:14" x14ac:dyDescent="0.2">
      <c r="A130" s="218"/>
      <c r="B130" s="237" t="s">
        <v>262</v>
      </c>
      <c r="C130" s="241">
        <f t="shared" ref="C130:N130" si="28">SUM(C129/C128)*100</f>
        <v>88.910233363838415</v>
      </c>
      <c r="D130" s="241">
        <f t="shared" si="28"/>
        <v>90.303036507047111</v>
      </c>
      <c r="E130" s="241">
        <f t="shared" si="28"/>
        <v>106.34548995503503</v>
      </c>
      <c r="F130" s="241">
        <f t="shared" si="28"/>
        <v>106.42727350696133</v>
      </c>
      <c r="G130" s="241">
        <f t="shared" si="28"/>
        <v>91.391821274506384</v>
      </c>
      <c r="H130" s="241">
        <f t="shared" si="28"/>
        <v>136.4077507773811</v>
      </c>
      <c r="I130" s="241">
        <f t="shared" si="28"/>
        <v>101.712599791739</v>
      </c>
      <c r="J130" s="241">
        <f t="shared" si="28"/>
        <v>158.26497472297402</v>
      </c>
      <c r="K130" s="241">
        <f t="shared" si="28"/>
        <v>80.961403508771937</v>
      </c>
      <c r="L130" s="241">
        <f t="shared" si="28"/>
        <v>96.692100910851678</v>
      </c>
      <c r="M130" s="241">
        <f t="shared" si="28"/>
        <v>134.64568465655665</v>
      </c>
      <c r="N130" s="242">
        <f t="shared" si="28"/>
        <v>104.63506838571209</v>
      </c>
    </row>
    <row r="131" spans="1:14" x14ac:dyDescent="0.2">
      <c r="A131" s="218"/>
      <c r="B131" s="243" t="s">
        <v>291</v>
      </c>
      <c r="C131" s="247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8"/>
    </row>
    <row r="132" spans="1:14" x14ac:dyDescent="0.2">
      <c r="A132" s="218"/>
      <c r="B132" s="234" t="s">
        <v>260</v>
      </c>
      <c r="C132" s="249">
        <v>30544</v>
      </c>
      <c r="D132" s="249">
        <v>151293</v>
      </c>
      <c r="E132" s="249">
        <v>439805</v>
      </c>
      <c r="F132" s="249">
        <v>174208</v>
      </c>
      <c r="G132" s="249">
        <v>23588</v>
      </c>
      <c r="H132" s="249">
        <v>30800</v>
      </c>
      <c r="I132" s="249">
        <v>697</v>
      </c>
      <c r="J132" s="249">
        <v>20000</v>
      </c>
      <c r="K132" s="249"/>
      <c r="L132" s="249">
        <v>226122</v>
      </c>
      <c r="M132" s="249">
        <v>30800</v>
      </c>
      <c r="N132" s="250">
        <v>870935</v>
      </c>
    </row>
    <row r="133" spans="1:14" x14ac:dyDescent="0.2">
      <c r="A133" s="218"/>
      <c r="B133" s="237" t="s">
        <v>261</v>
      </c>
      <c r="C133" s="238">
        <f>21549.54-14.04</f>
        <v>21535.5</v>
      </c>
      <c r="D133" s="238">
        <f>132553.76+547.55</f>
        <v>133101.31</v>
      </c>
      <c r="E133" s="238">
        <v>441974.54</v>
      </c>
      <c r="F133" s="238">
        <v>168155.1</v>
      </c>
      <c r="G133" s="238">
        <f>21699.65+847</f>
        <v>22546.65</v>
      </c>
      <c r="H133" s="238">
        <v>30713.02</v>
      </c>
      <c r="I133" s="238">
        <v>726.59</v>
      </c>
      <c r="J133" s="238">
        <v>26184.77</v>
      </c>
      <c r="K133" s="238"/>
      <c r="L133" s="238">
        <f>SUM(C133+D133+G133+I133+J133)</f>
        <v>204094.81999999998</v>
      </c>
      <c r="M133" s="238">
        <f>SUM(H133+K133)</f>
        <v>30713.02</v>
      </c>
      <c r="N133" s="239">
        <f>SUM(C133:K133)</f>
        <v>844937.48</v>
      </c>
    </row>
    <row r="134" spans="1:14" x14ac:dyDescent="0.2">
      <c r="A134" s="218"/>
      <c r="B134" s="246" t="s">
        <v>262</v>
      </c>
      <c r="C134" s="241">
        <f t="shared" ref="C134:J134" si="29">SUM(C133/C132)*100</f>
        <v>70.50648245154531</v>
      </c>
      <c r="D134" s="241">
        <f t="shared" si="29"/>
        <v>87.975854798305278</v>
      </c>
      <c r="E134" s="241">
        <f t="shared" si="29"/>
        <v>100.4932958924978</v>
      </c>
      <c r="F134" s="241">
        <f t="shared" si="29"/>
        <v>96.525475293901536</v>
      </c>
      <c r="G134" s="241">
        <f t="shared" si="29"/>
        <v>95.585255214515868</v>
      </c>
      <c r="H134" s="241">
        <f t="shared" si="29"/>
        <v>99.717597402597406</v>
      </c>
      <c r="I134" s="241">
        <f t="shared" si="29"/>
        <v>104.24533715925395</v>
      </c>
      <c r="J134" s="241">
        <f t="shared" si="29"/>
        <v>130.92384999999999</v>
      </c>
      <c r="K134" s="241"/>
      <c r="L134" s="241">
        <f>SUM(L133/L132)*100</f>
        <v>90.258718744748407</v>
      </c>
      <c r="M134" s="241">
        <f>SUM(M133/M132)*100</f>
        <v>99.717597402597406</v>
      </c>
      <c r="N134" s="242">
        <f>SUM(N133/N132)*100</f>
        <v>97.014987341190789</v>
      </c>
    </row>
    <row r="135" spans="1:14" x14ac:dyDescent="0.2">
      <c r="A135" s="218"/>
      <c r="B135" s="232" t="s">
        <v>292</v>
      </c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8"/>
    </row>
    <row r="136" spans="1:14" x14ac:dyDescent="0.2">
      <c r="A136" s="218"/>
      <c r="B136" s="234" t="s">
        <v>260</v>
      </c>
      <c r="C136" s="249">
        <v>61149</v>
      </c>
      <c r="D136" s="249">
        <v>87019</v>
      </c>
      <c r="E136" s="249">
        <v>563944</v>
      </c>
      <c r="F136" s="249">
        <v>218233</v>
      </c>
      <c r="G136" s="249">
        <v>31797</v>
      </c>
      <c r="H136" s="249">
        <v>24895</v>
      </c>
      <c r="I136" s="249">
        <v>3133</v>
      </c>
      <c r="J136" s="249">
        <v>32090</v>
      </c>
      <c r="K136" s="249">
        <v>450</v>
      </c>
      <c r="L136" s="249">
        <v>215188</v>
      </c>
      <c r="M136" s="249">
        <v>25345</v>
      </c>
      <c r="N136" s="250">
        <v>1022710</v>
      </c>
    </row>
    <row r="137" spans="1:14" x14ac:dyDescent="0.2">
      <c r="A137" s="218"/>
      <c r="B137" s="237" t="s">
        <v>261</v>
      </c>
      <c r="C137" s="238">
        <f>52548.47+17.4</f>
        <v>52565.87</v>
      </c>
      <c r="D137" s="238">
        <f>76215.87+533.97</f>
        <v>76749.84</v>
      </c>
      <c r="E137" s="238">
        <v>557822.04</v>
      </c>
      <c r="F137" s="238">
        <v>212421.18</v>
      </c>
      <c r="G137" s="238">
        <f>29220.85+1082.4</f>
        <v>30303.25</v>
      </c>
      <c r="H137" s="238">
        <v>38081.360000000001</v>
      </c>
      <c r="I137" s="238">
        <v>2224.33</v>
      </c>
      <c r="J137" s="238">
        <v>29750.73</v>
      </c>
      <c r="K137" s="238">
        <v>424.96</v>
      </c>
      <c r="L137" s="238">
        <f>SUM(C137+D137+G137+I137+J137)</f>
        <v>191594.02</v>
      </c>
      <c r="M137" s="238">
        <f>SUM(H137+K137)</f>
        <v>38506.32</v>
      </c>
      <c r="N137" s="239">
        <f>SUM(C137:K137)</f>
        <v>1000343.5599999998</v>
      </c>
    </row>
    <row r="138" spans="1:14" x14ac:dyDescent="0.2">
      <c r="A138" s="218"/>
      <c r="B138" s="237" t="s">
        <v>262</v>
      </c>
      <c r="C138" s="241">
        <f t="shared" ref="C138:N138" si="30">SUM(C137/C136)*100</f>
        <v>85.963580761745902</v>
      </c>
      <c r="D138" s="241">
        <f t="shared" si="30"/>
        <v>88.198945057975848</v>
      </c>
      <c r="E138" s="241">
        <f t="shared" si="30"/>
        <v>98.914438313023993</v>
      </c>
      <c r="F138" s="241">
        <f t="shared" si="30"/>
        <v>97.336873891666244</v>
      </c>
      <c r="G138" s="241">
        <f t="shared" si="30"/>
        <v>95.302229770104091</v>
      </c>
      <c r="H138" s="241">
        <f t="shared" si="30"/>
        <v>152.96790520184774</v>
      </c>
      <c r="I138" s="241">
        <f t="shared" si="30"/>
        <v>70.996808171082023</v>
      </c>
      <c r="J138" s="241">
        <f t="shared" si="30"/>
        <v>92.71028357743846</v>
      </c>
      <c r="K138" s="241">
        <f t="shared" si="30"/>
        <v>94.435555555555553</v>
      </c>
      <c r="L138" s="241">
        <f t="shared" si="30"/>
        <v>89.035643251482426</v>
      </c>
      <c r="M138" s="241">
        <f t="shared" si="30"/>
        <v>151.92866443085421</v>
      </c>
      <c r="N138" s="242">
        <f t="shared" si="30"/>
        <v>97.813022264376002</v>
      </c>
    </row>
    <row r="139" spans="1:14" x14ac:dyDescent="0.2">
      <c r="A139" s="218"/>
      <c r="B139" s="243" t="s">
        <v>293</v>
      </c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  <c r="N139" s="248"/>
    </row>
    <row r="140" spans="1:14" x14ac:dyDescent="0.2">
      <c r="A140" s="218"/>
      <c r="B140" s="234" t="s">
        <v>260</v>
      </c>
      <c r="C140" s="249">
        <v>179572</v>
      </c>
      <c r="D140" s="249">
        <v>316143</v>
      </c>
      <c r="E140" s="249">
        <v>1839900</v>
      </c>
      <c r="F140" s="249">
        <v>721301</v>
      </c>
      <c r="G140" s="249">
        <v>103407</v>
      </c>
      <c r="H140" s="249">
        <v>115070</v>
      </c>
      <c r="I140" s="249">
        <v>24912</v>
      </c>
      <c r="J140" s="249">
        <v>77267</v>
      </c>
      <c r="K140" s="249">
        <v>100</v>
      </c>
      <c r="L140" s="249">
        <v>701301</v>
      </c>
      <c r="M140" s="249">
        <v>115170</v>
      </c>
      <c r="N140" s="250">
        <v>3377672</v>
      </c>
    </row>
    <row r="141" spans="1:14" x14ac:dyDescent="0.2">
      <c r="A141" s="218"/>
      <c r="B141" s="237" t="s">
        <v>261</v>
      </c>
      <c r="C141" s="238">
        <f>150619.91+2018.37</f>
        <v>152638.28</v>
      </c>
      <c r="D141" s="238">
        <f>285311.26+2134.61</f>
        <v>287445.87</v>
      </c>
      <c r="E141" s="238">
        <v>1995448.2</v>
      </c>
      <c r="F141" s="238">
        <v>784933.28</v>
      </c>
      <c r="G141" s="238">
        <f>102041.38+3877.39</f>
        <v>105918.77</v>
      </c>
      <c r="H141" s="238">
        <v>290889.34999999998</v>
      </c>
      <c r="I141" s="238">
        <v>64498.9</v>
      </c>
      <c r="J141" s="238">
        <v>89943.57</v>
      </c>
      <c r="K141" s="238">
        <v>53.12</v>
      </c>
      <c r="L141" s="238">
        <f>SUM(C141+D141+G141+I141+J141)</f>
        <v>700445.39000000013</v>
      </c>
      <c r="M141" s="238">
        <f>SUM(H141+K141)</f>
        <v>290942.46999999997</v>
      </c>
      <c r="N141" s="239">
        <f>SUM(C141:K141)</f>
        <v>3771769.34</v>
      </c>
    </row>
    <row r="142" spans="1:14" x14ac:dyDescent="0.2">
      <c r="A142" s="218"/>
      <c r="B142" s="246" t="s">
        <v>262</v>
      </c>
      <c r="C142" s="241">
        <f t="shared" ref="C142:N142" si="31">SUM(C141/C140)*100</f>
        <v>85.001158309758765</v>
      </c>
      <c r="D142" s="241">
        <f t="shared" si="31"/>
        <v>90.922737495373923</v>
      </c>
      <c r="E142" s="241">
        <f t="shared" si="31"/>
        <v>108.45416598728193</v>
      </c>
      <c r="F142" s="241">
        <f t="shared" si="31"/>
        <v>108.82187602679048</v>
      </c>
      <c r="G142" s="241">
        <f t="shared" si="31"/>
        <v>102.42901350972372</v>
      </c>
      <c r="H142" s="241">
        <f t="shared" si="31"/>
        <v>252.79338663422263</v>
      </c>
      <c r="I142" s="241">
        <f t="shared" si="31"/>
        <v>258.90695247270395</v>
      </c>
      <c r="J142" s="241">
        <f t="shared" si="31"/>
        <v>116.40618892929713</v>
      </c>
      <c r="K142" s="241">
        <f t="shared" si="31"/>
        <v>53.12</v>
      </c>
      <c r="L142" s="241">
        <f t="shared" si="31"/>
        <v>99.877996751751411</v>
      </c>
      <c r="M142" s="241">
        <f t="shared" si="31"/>
        <v>252.62001389250673</v>
      </c>
      <c r="N142" s="242">
        <f t="shared" si="31"/>
        <v>111.66772084441592</v>
      </c>
    </row>
    <row r="143" spans="1:14" x14ac:dyDescent="0.2">
      <c r="A143" s="218"/>
      <c r="B143" s="232" t="s">
        <v>294</v>
      </c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7"/>
      <c r="N143" s="248"/>
    </row>
    <row r="144" spans="1:14" x14ac:dyDescent="0.2">
      <c r="A144" s="218"/>
      <c r="B144" s="234" t="s">
        <v>260</v>
      </c>
      <c r="C144" s="249">
        <v>44017</v>
      </c>
      <c r="D144" s="249">
        <v>87264</v>
      </c>
      <c r="E144" s="249">
        <v>308137</v>
      </c>
      <c r="F144" s="249">
        <v>173640</v>
      </c>
      <c r="G144" s="249">
        <v>16660</v>
      </c>
      <c r="H144" s="249">
        <v>162236</v>
      </c>
      <c r="I144" s="249">
        <v>570</v>
      </c>
      <c r="J144" s="249">
        <v>8100</v>
      </c>
      <c r="K144" s="249"/>
      <c r="L144" s="249">
        <v>156611</v>
      </c>
      <c r="M144" s="249">
        <v>162236</v>
      </c>
      <c r="N144" s="250">
        <v>800624</v>
      </c>
    </row>
    <row r="145" spans="1:14" x14ac:dyDescent="0.2">
      <c r="A145" s="218"/>
      <c r="B145" s="237" t="s">
        <v>261</v>
      </c>
      <c r="C145" s="249">
        <v>17260.53</v>
      </c>
      <c r="D145" s="249">
        <v>87391.94</v>
      </c>
      <c r="E145" s="249">
        <v>232003.7</v>
      </c>
      <c r="F145" s="249">
        <v>91340.26</v>
      </c>
      <c r="G145" s="249">
        <v>15568.78</v>
      </c>
      <c r="H145" s="249">
        <v>15886.72</v>
      </c>
      <c r="I145" s="249">
        <v>550</v>
      </c>
      <c r="J145" s="249">
        <v>11575.57</v>
      </c>
      <c r="K145" s="249"/>
      <c r="L145" s="238">
        <f>SUM(C145+D145+G145+I145+J145)</f>
        <v>132346.82</v>
      </c>
      <c r="M145" s="238">
        <f>SUM(H145+K145)</f>
        <v>15886.72</v>
      </c>
      <c r="N145" s="239">
        <f>SUM(C145:K145)</f>
        <v>471577.50000000006</v>
      </c>
    </row>
    <row r="146" spans="1:14" x14ac:dyDescent="0.2">
      <c r="A146" s="218"/>
      <c r="B146" s="237" t="s">
        <v>262</v>
      </c>
      <c r="C146" s="241">
        <f t="shared" ref="C146:J146" si="32">SUM(C145/C144)*100</f>
        <v>39.213326669241425</v>
      </c>
      <c r="D146" s="241">
        <f t="shared" si="32"/>
        <v>100.14661257792446</v>
      </c>
      <c r="E146" s="241">
        <f t="shared" si="32"/>
        <v>75.292386178874978</v>
      </c>
      <c r="F146" s="241">
        <f t="shared" si="32"/>
        <v>52.603236581432846</v>
      </c>
      <c r="G146" s="241">
        <f t="shared" si="32"/>
        <v>93.450060024009602</v>
      </c>
      <c r="H146" s="241">
        <f t="shared" si="32"/>
        <v>9.7923518824428601</v>
      </c>
      <c r="I146" s="241">
        <f t="shared" si="32"/>
        <v>96.491228070175438</v>
      </c>
      <c r="J146" s="241">
        <f t="shared" si="32"/>
        <v>142.90827160493825</v>
      </c>
      <c r="K146" s="241"/>
      <c r="L146" s="241">
        <f>SUM(L145/L144)*100</f>
        <v>84.506720473019143</v>
      </c>
      <c r="M146" s="241">
        <f>SUM(M145/M144)*100</f>
        <v>9.7923518824428601</v>
      </c>
      <c r="N146" s="242">
        <f>SUM(N145/N144)*100</f>
        <v>58.901244529267181</v>
      </c>
    </row>
    <row r="147" spans="1:14" x14ac:dyDescent="0.2">
      <c r="A147" s="218"/>
      <c r="B147" s="243" t="s">
        <v>295</v>
      </c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8"/>
    </row>
    <row r="148" spans="1:14" x14ac:dyDescent="0.2">
      <c r="A148" s="218"/>
      <c r="B148" s="234" t="s">
        <v>260</v>
      </c>
      <c r="C148" s="249">
        <v>45526</v>
      </c>
      <c r="D148" s="249">
        <v>260463</v>
      </c>
      <c r="E148" s="249">
        <v>730864</v>
      </c>
      <c r="F148" s="249">
        <v>278598</v>
      </c>
      <c r="G148" s="249">
        <v>38867</v>
      </c>
      <c r="H148" s="249">
        <v>20680</v>
      </c>
      <c r="I148" s="249">
        <v>12719</v>
      </c>
      <c r="J148" s="249">
        <v>52754</v>
      </c>
      <c r="K148" s="249">
        <v>412</v>
      </c>
      <c r="L148" s="249">
        <v>410329</v>
      </c>
      <c r="M148" s="249">
        <v>21092</v>
      </c>
      <c r="N148" s="250">
        <v>1440883</v>
      </c>
    </row>
    <row r="149" spans="1:14" x14ac:dyDescent="0.2">
      <c r="A149" s="218"/>
      <c r="B149" s="237" t="s">
        <v>261</v>
      </c>
      <c r="C149" s="238">
        <f>29822.92+11.41</f>
        <v>29834.329999999998</v>
      </c>
      <c r="D149" s="238">
        <f>242236+1397.26</f>
        <v>243633.26</v>
      </c>
      <c r="E149" s="238">
        <v>766312.61</v>
      </c>
      <c r="F149" s="238">
        <v>290940.94</v>
      </c>
      <c r="G149" s="238">
        <f>38446.66+1386</f>
        <v>39832.660000000003</v>
      </c>
      <c r="H149" s="238">
        <v>12660.78</v>
      </c>
      <c r="I149" s="238">
        <v>51629.919999999998</v>
      </c>
      <c r="J149" s="238">
        <v>54703.91</v>
      </c>
      <c r="K149" s="238">
        <v>0</v>
      </c>
      <c r="L149" s="238">
        <f>SUM(C149+D149+G149+I149+J149)</f>
        <v>419634.07999999996</v>
      </c>
      <c r="M149" s="238">
        <f>SUM(H149+K149)</f>
        <v>12660.78</v>
      </c>
      <c r="N149" s="239">
        <f>SUM(C149:K149)</f>
        <v>1489548.4099999997</v>
      </c>
    </row>
    <row r="150" spans="1:14" x14ac:dyDescent="0.2">
      <c r="A150" s="218"/>
      <c r="B150" s="246" t="s">
        <v>262</v>
      </c>
      <c r="C150" s="241">
        <f t="shared" ref="C150:N150" si="33">SUM(C149/C148)*100</f>
        <v>65.532508896015457</v>
      </c>
      <c r="D150" s="241">
        <f t="shared" si="33"/>
        <v>93.538529464837623</v>
      </c>
      <c r="E150" s="241">
        <f t="shared" si="33"/>
        <v>104.85023342236038</v>
      </c>
      <c r="F150" s="241">
        <f t="shared" si="33"/>
        <v>104.43037638461152</v>
      </c>
      <c r="G150" s="241">
        <f t="shared" si="33"/>
        <v>102.48452414644815</v>
      </c>
      <c r="H150" s="241">
        <f t="shared" si="33"/>
        <v>61.222340425531918</v>
      </c>
      <c r="I150" s="241">
        <f t="shared" si="33"/>
        <v>405.92751002437291</v>
      </c>
      <c r="J150" s="241">
        <f t="shared" si="33"/>
        <v>103.69623156537892</v>
      </c>
      <c r="K150" s="241">
        <f t="shared" si="33"/>
        <v>0</v>
      </c>
      <c r="L150" s="241">
        <f t="shared" si="33"/>
        <v>102.26771200670682</v>
      </c>
      <c r="M150" s="241">
        <f t="shared" si="33"/>
        <v>60.026455528162337</v>
      </c>
      <c r="N150" s="242">
        <f t="shared" si="33"/>
        <v>103.3774713144648</v>
      </c>
    </row>
    <row r="151" spans="1:14" x14ac:dyDescent="0.2">
      <c r="A151" s="218"/>
      <c r="B151" s="232" t="s">
        <v>296</v>
      </c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8"/>
    </row>
    <row r="152" spans="1:14" x14ac:dyDescent="0.2">
      <c r="A152" s="218"/>
      <c r="B152" s="234" t="s">
        <v>260</v>
      </c>
      <c r="C152" s="249">
        <v>77192</v>
      </c>
      <c r="D152" s="249">
        <v>101580</v>
      </c>
      <c r="E152" s="249">
        <v>617356</v>
      </c>
      <c r="F152" s="249">
        <v>244703</v>
      </c>
      <c r="G152" s="249">
        <v>38800</v>
      </c>
      <c r="H152" s="249">
        <v>41985</v>
      </c>
      <c r="I152" s="249">
        <v>2467</v>
      </c>
      <c r="J152" s="249">
        <v>23457</v>
      </c>
      <c r="K152" s="249">
        <v>120</v>
      </c>
      <c r="L152" s="249">
        <v>243496</v>
      </c>
      <c r="M152" s="249">
        <v>42105</v>
      </c>
      <c r="N152" s="250">
        <v>1147660</v>
      </c>
    </row>
    <row r="153" spans="1:14" x14ac:dyDescent="0.2">
      <c r="A153" s="218"/>
      <c r="B153" s="237" t="s">
        <v>261</v>
      </c>
      <c r="C153" s="238">
        <f>52901.19+23.56</f>
        <v>52924.75</v>
      </c>
      <c r="D153" s="238">
        <f>95357.08+1268.65</f>
        <v>96625.73</v>
      </c>
      <c r="E153" s="238">
        <v>657076.62</v>
      </c>
      <c r="F153" s="238">
        <v>254265.71</v>
      </c>
      <c r="G153" s="238">
        <f>35187.37+1142.27</f>
        <v>36329.64</v>
      </c>
      <c r="H153" s="238">
        <v>31298.95</v>
      </c>
      <c r="I153" s="238">
        <v>3354.44</v>
      </c>
      <c r="J153" s="238">
        <v>16860.28</v>
      </c>
      <c r="K153" s="238">
        <v>79.569999999999993</v>
      </c>
      <c r="L153" s="238">
        <f>SUM(C153+D153+G153+I153+J153)</f>
        <v>206094.84</v>
      </c>
      <c r="M153" s="238">
        <f>SUM(H153+K153)</f>
        <v>31378.52</v>
      </c>
      <c r="N153" s="239">
        <f>SUM(C153:K153)</f>
        <v>1148815.69</v>
      </c>
    </row>
    <row r="154" spans="1:14" x14ac:dyDescent="0.2">
      <c r="A154" s="218"/>
      <c r="B154" s="237" t="s">
        <v>262</v>
      </c>
      <c r="C154" s="241">
        <f t="shared" ref="C154:N154" si="34">SUM(C153/C152)*100</f>
        <v>68.5624805679345</v>
      </c>
      <c r="D154" s="241">
        <f t="shared" si="34"/>
        <v>95.122789919275448</v>
      </c>
      <c r="E154" s="241">
        <f t="shared" si="34"/>
        <v>106.43398946474967</v>
      </c>
      <c r="F154" s="241">
        <f t="shared" si="34"/>
        <v>103.90788425152122</v>
      </c>
      <c r="G154" s="241">
        <f t="shared" si="34"/>
        <v>93.633092783505163</v>
      </c>
      <c r="H154" s="241">
        <f t="shared" si="34"/>
        <v>74.547933785875912</v>
      </c>
      <c r="I154" s="241">
        <f t="shared" si="34"/>
        <v>135.97243615727606</v>
      </c>
      <c r="J154" s="241">
        <f t="shared" si="34"/>
        <v>71.877392675960266</v>
      </c>
      <c r="K154" s="241">
        <f t="shared" si="34"/>
        <v>66.308333333333323</v>
      </c>
      <c r="L154" s="241">
        <f t="shared" si="34"/>
        <v>84.63992837664685</v>
      </c>
      <c r="M154" s="241">
        <f t="shared" si="34"/>
        <v>74.524450777817364</v>
      </c>
      <c r="N154" s="242">
        <f t="shared" si="34"/>
        <v>100.10069968457556</v>
      </c>
    </row>
    <row r="155" spans="1:14" x14ac:dyDescent="0.2">
      <c r="A155" s="218"/>
      <c r="B155" s="243" t="s">
        <v>297</v>
      </c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8"/>
    </row>
    <row r="156" spans="1:14" x14ac:dyDescent="0.2">
      <c r="A156" s="218"/>
      <c r="B156" s="234" t="s">
        <v>260</v>
      </c>
      <c r="C156" s="249">
        <v>80104</v>
      </c>
      <c r="D156" s="249">
        <v>138058</v>
      </c>
      <c r="E156" s="249">
        <v>879897</v>
      </c>
      <c r="F156" s="249">
        <v>340259</v>
      </c>
      <c r="G156" s="249">
        <v>49579</v>
      </c>
      <c r="H156" s="249">
        <v>38859</v>
      </c>
      <c r="I156" s="249">
        <v>12300</v>
      </c>
      <c r="J156" s="249">
        <v>60800</v>
      </c>
      <c r="K156" s="249">
        <v>520</v>
      </c>
      <c r="L156" s="249">
        <v>340841</v>
      </c>
      <c r="M156" s="249">
        <v>39379</v>
      </c>
      <c r="N156" s="250">
        <v>1600376</v>
      </c>
    </row>
    <row r="157" spans="1:14" x14ac:dyDescent="0.2">
      <c r="A157" s="218"/>
      <c r="B157" s="237" t="s">
        <v>261</v>
      </c>
      <c r="C157" s="238">
        <f>65929.92+19.96</f>
        <v>65949.88</v>
      </c>
      <c r="D157" s="238">
        <f>113912.55+3349.5</f>
        <v>117262.05</v>
      </c>
      <c r="E157" s="238">
        <v>923436.92</v>
      </c>
      <c r="F157" s="238">
        <v>356226.15</v>
      </c>
      <c r="G157" s="238">
        <f>50165.61+1940.84</f>
        <v>52106.45</v>
      </c>
      <c r="H157" s="238">
        <v>34015.39</v>
      </c>
      <c r="I157" s="238">
        <v>2775.6</v>
      </c>
      <c r="J157" s="238">
        <v>56889.71</v>
      </c>
      <c r="K157" s="238">
        <v>478.08</v>
      </c>
      <c r="L157" s="238">
        <f>SUM(C157+D157+G157+I157+J157)</f>
        <v>294983.69</v>
      </c>
      <c r="M157" s="238">
        <f>SUM(H157+K157)</f>
        <v>34493.47</v>
      </c>
      <c r="N157" s="239">
        <f>SUM(C157:K157)</f>
        <v>1609140.23</v>
      </c>
    </row>
    <row r="158" spans="1:14" x14ac:dyDescent="0.2">
      <c r="A158" s="218"/>
      <c r="B158" s="246" t="s">
        <v>262</v>
      </c>
      <c r="C158" s="241">
        <f t="shared" ref="C158:N158" si="35">SUM(C157/C156)*100</f>
        <v>82.330320583241786</v>
      </c>
      <c r="D158" s="241">
        <f t="shared" si="35"/>
        <v>84.936801923829123</v>
      </c>
      <c r="E158" s="241">
        <f t="shared" si="35"/>
        <v>104.94829735753162</v>
      </c>
      <c r="F158" s="241">
        <f t="shared" si="35"/>
        <v>104.69264589621436</v>
      </c>
      <c r="G158" s="241">
        <f t="shared" si="35"/>
        <v>105.09782367534642</v>
      </c>
      <c r="H158" s="241">
        <f t="shared" si="35"/>
        <v>87.535422939344812</v>
      </c>
      <c r="I158" s="241">
        <f t="shared" si="35"/>
        <v>22.565853658536586</v>
      </c>
      <c r="J158" s="241">
        <f t="shared" si="35"/>
        <v>93.56860197368421</v>
      </c>
      <c r="K158" s="241">
        <f t="shared" si="35"/>
        <v>91.938461538461539</v>
      </c>
      <c r="L158" s="241">
        <f t="shared" si="35"/>
        <v>86.545835154808259</v>
      </c>
      <c r="M158" s="241">
        <f t="shared" si="35"/>
        <v>87.593565098148758</v>
      </c>
      <c r="N158" s="242">
        <f t="shared" si="35"/>
        <v>100.54763568061504</v>
      </c>
    </row>
    <row r="159" spans="1:14" x14ac:dyDescent="0.2">
      <c r="A159" s="218"/>
      <c r="B159" s="232" t="s">
        <v>298</v>
      </c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8"/>
    </row>
    <row r="160" spans="1:14" x14ac:dyDescent="0.2">
      <c r="A160" s="218"/>
      <c r="B160" s="234" t="s">
        <v>260</v>
      </c>
      <c r="C160" s="249">
        <v>78251</v>
      </c>
      <c r="D160" s="249">
        <v>100230</v>
      </c>
      <c r="E160" s="249">
        <v>650254</v>
      </c>
      <c r="F160" s="249">
        <v>254898</v>
      </c>
      <c r="G160" s="249">
        <v>37921</v>
      </c>
      <c r="H160" s="249">
        <v>38756</v>
      </c>
      <c r="I160" s="249">
        <v>2177</v>
      </c>
      <c r="J160" s="249">
        <v>24047</v>
      </c>
      <c r="K160" s="249">
        <v>216</v>
      </c>
      <c r="L160" s="249">
        <v>242626</v>
      </c>
      <c r="M160" s="249">
        <v>38972</v>
      </c>
      <c r="N160" s="250">
        <v>1186750</v>
      </c>
    </row>
    <row r="161" spans="1:16" x14ac:dyDescent="0.2">
      <c r="A161" s="218"/>
      <c r="B161" s="237" t="s">
        <v>261</v>
      </c>
      <c r="C161" s="238">
        <f>62104.36+14.53</f>
        <v>62118.89</v>
      </c>
      <c r="D161" s="238">
        <f>80862.22+939.16</f>
        <v>81801.38</v>
      </c>
      <c r="E161" s="238">
        <v>687372.88</v>
      </c>
      <c r="F161" s="238">
        <v>265259.21000000002</v>
      </c>
      <c r="G161" s="238">
        <f>35057.69+1202</f>
        <v>36259.69</v>
      </c>
      <c r="H161" s="238">
        <v>45195.86</v>
      </c>
      <c r="I161" s="238">
        <v>1839.04</v>
      </c>
      <c r="J161" s="238">
        <v>18628.45</v>
      </c>
      <c r="K161" s="238">
        <v>186</v>
      </c>
      <c r="L161" s="238">
        <f>SUM(C161+D161+G161+I161+J161)</f>
        <v>200647.45000000004</v>
      </c>
      <c r="M161" s="238">
        <f>SUM(H161+K161)</f>
        <v>45381.86</v>
      </c>
      <c r="N161" s="239">
        <f>SUM(C161:K161)</f>
        <v>1198661.4000000001</v>
      </c>
    </row>
    <row r="162" spans="1:16" x14ac:dyDescent="0.2">
      <c r="A162" s="218"/>
      <c r="B162" s="237" t="s">
        <v>262</v>
      </c>
      <c r="C162" s="241">
        <f t="shared" ref="C162:N162" si="36">SUM(C161/C160)*100</f>
        <v>79.384148445387282</v>
      </c>
      <c r="D162" s="241">
        <f t="shared" si="36"/>
        <v>81.6136685623067</v>
      </c>
      <c r="E162" s="241">
        <f t="shared" si="36"/>
        <v>105.70836626918097</v>
      </c>
      <c r="F162" s="241">
        <f t="shared" si="36"/>
        <v>104.06484554606156</v>
      </c>
      <c r="G162" s="241">
        <f t="shared" si="36"/>
        <v>95.619023759921944</v>
      </c>
      <c r="H162" s="241">
        <f t="shared" si="36"/>
        <v>116.61642068324905</v>
      </c>
      <c r="I162" s="241">
        <f t="shared" si="36"/>
        <v>84.475884244372992</v>
      </c>
      <c r="J162" s="241">
        <f t="shared" si="36"/>
        <v>77.466835779930975</v>
      </c>
      <c r="K162" s="241">
        <f t="shared" si="36"/>
        <v>86.111111111111114</v>
      </c>
      <c r="L162" s="241">
        <f t="shared" si="36"/>
        <v>82.698247508511059</v>
      </c>
      <c r="M162" s="241">
        <f t="shared" si="36"/>
        <v>116.44734681309659</v>
      </c>
      <c r="N162" s="242">
        <f t="shared" si="36"/>
        <v>101.00369917842849</v>
      </c>
    </row>
    <row r="163" spans="1:16" ht="17.25" customHeight="1" x14ac:dyDescent="0.25">
      <c r="A163" s="218"/>
      <c r="B163" s="251" t="s">
        <v>299</v>
      </c>
      <c r="C163" s="252">
        <v>0</v>
      </c>
      <c r="D163" s="252">
        <v>0</v>
      </c>
      <c r="E163" s="252">
        <v>0</v>
      </c>
      <c r="F163" s="252">
        <v>0</v>
      </c>
      <c r="G163" s="252">
        <v>0</v>
      </c>
      <c r="H163" s="252">
        <v>0</v>
      </c>
      <c r="I163" s="252">
        <v>0</v>
      </c>
      <c r="J163" s="252">
        <v>0</v>
      </c>
      <c r="K163" s="252">
        <v>0</v>
      </c>
      <c r="L163" s="252">
        <v>0</v>
      </c>
      <c r="M163" s="252">
        <v>0</v>
      </c>
      <c r="N163" s="253">
        <v>0</v>
      </c>
    </row>
    <row r="164" spans="1:16" ht="15" x14ac:dyDescent="0.25">
      <c r="A164" s="218"/>
      <c r="B164" s="254" t="s">
        <v>260</v>
      </c>
      <c r="C164" s="255">
        <v>3538985</v>
      </c>
      <c r="D164" s="255">
        <v>7883687</v>
      </c>
      <c r="E164" s="255">
        <v>35579980</v>
      </c>
      <c r="F164" s="255">
        <v>13810924</v>
      </c>
      <c r="G164" s="255">
        <v>2047019</v>
      </c>
      <c r="H164" s="255">
        <v>1770439</v>
      </c>
      <c r="I164" s="255">
        <v>214499</v>
      </c>
      <c r="J164" s="255">
        <v>1550521</v>
      </c>
      <c r="K164" s="255">
        <v>16242</v>
      </c>
      <c r="L164" s="255">
        <v>15234711</v>
      </c>
      <c r="M164" s="255">
        <v>1786681</v>
      </c>
      <c r="N164" s="256">
        <v>66412296</v>
      </c>
    </row>
    <row r="165" spans="1:16" ht="15" x14ac:dyDescent="0.25">
      <c r="A165" s="218"/>
      <c r="B165" s="254" t="s">
        <v>261</v>
      </c>
      <c r="C165" s="255">
        <f>SUM(C17+C21+C25+C29+C33+C37+C41+C45+C49+C53+C57+C61+C65+C69+C73+C77+C81+C85+C89+C93+C97+C101+C105+C109+C113+C117+C121+C125+C129+C133+C137+C141+C145+C149+C153+C157+C161)</f>
        <v>2777608.26</v>
      </c>
      <c r="D165" s="255">
        <f t="shared" ref="D165:N165" si="37">SUM(D17+D21+D25+D29+D33+D37+D41+D45+D49+D53+D57+D61+D65+D69+D73+D77+D81+D85+D89+D93+D97+D101+D105+D109+D113+D117+D121+D125+D129+D133+D137+D141+D145+D149+D153+D157+D161)</f>
        <v>7166320.4999999991</v>
      </c>
      <c r="E165" s="255">
        <f t="shared" si="37"/>
        <v>36667906.410000004</v>
      </c>
      <c r="F165" s="255">
        <f t="shared" si="37"/>
        <v>13959265.979999999</v>
      </c>
      <c r="G165" s="255">
        <f t="shared" si="37"/>
        <v>1992034.44</v>
      </c>
      <c r="H165" s="255">
        <f t="shared" si="37"/>
        <v>1733124.7500000007</v>
      </c>
      <c r="I165" s="255">
        <f t="shared" si="37"/>
        <v>268509.14999999991</v>
      </c>
      <c r="J165" s="255">
        <f t="shared" si="37"/>
        <v>1766961.41</v>
      </c>
      <c r="K165" s="255">
        <f t="shared" si="37"/>
        <v>11343.369999999999</v>
      </c>
      <c r="L165" s="255">
        <f t="shared" si="37"/>
        <v>13971433.759999998</v>
      </c>
      <c r="M165" s="255">
        <f t="shared" si="37"/>
        <v>1744468.1200000003</v>
      </c>
      <c r="N165" s="256">
        <f t="shared" si="37"/>
        <v>66343074.269999966</v>
      </c>
      <c r="O165" s="257"/>
      <c r="P165" s="257"/>
    </row>
    <row r="166" spans="1:16" ht="15.75" thickBot="1" x14ac:dyDescent="0.3">
      <c r="A166" s="218"/>
      <c r="B166" s="258" t="s">
        <v>262</v>
      </c>
      <c r="C166" s="259">
        <f>SUM(C165/C164)*100</f>
        <v>78.486013927722212</v>
      </c>
      <c r="D166" s="259">
        <f t="shared" ref="D166:N166" si="38">SUM(D165/D164)*100</f>
        <v>90.90062175223342</v>
      </c>
      <c r="E166" s="259">
        <f t="shared" si="38"/>
        <v>103.0576925844253</v>
      </c>
      <c r="F166" s="259">
        <f t="shared" si="38"/>
        <v>101.07409163934287</v>
      </c>
      <c r="G166" s="259">
        <f t="shared" si="38"/>
        <v>97.313920388623657</v>
      </c>
      <c r="H166" s="259">
        <f t="shared" si="38"/>
        <v>97.892373021606545</v>
      </c>
      <c r="I166" s="259">
        <f t="shared" si="38"/>
        <v>125.17967449731695</v>
      </c>
      <c r="J166" s="259">
        <f t="shared" si="38"/>
        <v>113.95920532517778</v>
      </c>
      <c r="K166" s="259">
        <f t="shared" si="38"/>
        <v>69.83973648565447</v>
      </c>
      <c r="L166" s="259">
        <f t="shared" si="38"/>
        <v>91.70790151516492</v>
      </c>
      <c r="M166" s="259">
        <f t="shared" si="38"/>
        <v>97.637357760003056</v>
      </c>
      <c r="N166" s="260">
        <f t="shared" si="38"/>
        <v>99.895769708067263</v>
      </c>
      <c r="P166" s="261"/>
    </row>
  </sheetData>
  <printOptions horizontalCentered="1"/>
  <pageMargins left="0" right="0" top="0" bottom="0" header="0" footer="0"/>
  <pageSetup paperSize="8"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V ZFNP rok 2011</vt:lpstr>
      <vt:lpstr>V ZFÚP rok 2011</vt:lpstr>
      <vt:lpstr>V ZFGP rok 2011</vt:lpstr>
      <vt:lpstr>V ZFPvN rok 2011</vt:lpstr>
      <vt:lpstr>600 pobočky rok 2011</vt:lpstr>
      <vt:lpstr>jednotlivé pobočky za rok 2011</vt:lpstr>
      <vt:lpstr>Hárok1</vt:lpstr>
      <vt:lpstr>'jednotlivé pobočky za rok 2011'!Názvy_tlače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Ďurišová Mária</cp:lastModifiedBy>
  <cp:lastPrinted>2012-02-14T07:36:27Z</cp:lastPrinted>
  <dcterms:created xsi:type="dcterms:W3CDTF">2012-01-24T09:11:16Z</dcterms:created>
  <dcterms:modified xsi:type="dcterms:W3CDTF">2012-05-16T09:11:42Z</dcterms:modified>
</cp:coreProperties>
</file>